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5340" windowHeight="6585" tabRatio="689" activeTab="2"/>
  </bookViews>
  <sheets>
    <sheet name="1999 Triumph Sprint ST" sheetId="1" r:id="rId1"/>
    <sheet name="1999 Triumph Sprint ST - BRG" sheetId="2" r:id="rId2"/>
    <sheet name="Summary" sheetId="3" r:id="rId3"/>
  </sheets>
  <externalReferences>
    <externalReference r:id="rId6"/>
  </externalReferences>
  <definedNames>
    <definedName name="A" localSheetId="0">'1999 Triumph Sprint ST'!$B$18</definedName>
    <definedName name="A" localSheetId="1">'1999 Triumph Sprint ST - BRG'!$B$18</definedName>
    <definedName name="A" localSheetId="2">#REF!</definedName>
    <definedName name="A">#REF!</definedName>
    <definedName name="a_ref1" localSheetId="0">'1999 Triumph Sprint ST'!$E$4</definedName>
    <definedName name="a_ref1" localSheetId="1">'1999 Triumph Sprint ST - BRG'!$E$4</definedName>
    <definedName name="a_ref1" localSheetId="2">#REF!</definedName>
    <definedName name="a_ref1">#REF!</definedName>
    <definedName name="a_ref2" localSheetId="0">'1999 Triumph Sprint ST'!$E$5</definedName>
    <definedName name="a_ref2" localSheetId="1">'1999 Triumph Sprint ST - BRG'!$E$5</definedName>
    <definedName name="a_ref2" localSheetId="2">#REF!</definedName>
    <definedName name="a_ref2">#REF!</definedName>
    <definedName name="Cd" localSheetId="0">'1999 Triumph Sprint ST'!$B$17</definedName>
    <definedName name="Cd" localSheetId="1">'1999 Triumph Sprint ST - BRG'!$B$17</definedName>
    <definedName name="Cd" localSheetId="2">#REF!</definedName>
    <definedName name="Cd">#REF!</definedName>
    <definedName name="cPower1" localSheetId="0">'1999 Triumph Sprint ST'!$B$5</definedName>
    <definedName name="cPower1" localSheetId="1">'1999 Triumph Sprint ST - BRG'!$B$5</definedName>
    <definedName name="cPower1" localSheetId="2">#REF!</definedName>
    <definedName name="cPower1">#REF!</definedName>
    <definedName name="cPower10" localSheetId="0">'1999 Triumph Sprint ST'!$B$14</definedName>
    <definedName name="cPower10" localSheetId="1">'1999 Triumph Sprint ST - BRG'!$B$14</definedName>
    <definedName name="cPower10" localSheetId="2">#REF!</definedName>
    <definedName name="cPower10">#REF!</definedName>
    <definedName name="cPower11" localSheetId="0">'1999 Triumph Sprint ST'!$B$15</definedName>
    <definedName name="cPower11" localSheetId="1">'1999 Triumph Sprint ST - BRG'!$B$15</definedName>
    <definedName name="cPower11" localSheetId="2">#REF!</definedName>
    <definedName name="cPower11">#REF!</definedName>
    <definedName name="cPower2" localSheetId="0">'1999 Triumph Sprint ST'!$B$6</definedName>
    <definedName name="cPower2" localSheetId="1">'1999 Triumph Sprint ST - BRG'!$B$6</definedName>
    <definedName name="cPower2" localSheetId="2">#REF!</definedName>
    <definedName name="cPower2">#REF!</definedName>
    <definedName name="cPower3" localSheetId="0">'1999 Triumph Sprint ST'!$B$7</definedName>
    <definedName name="cPower3" localSheetId="1">'1999 Triumph Sprint ST - BRG'!$B$7</definedName>
    <definedName name="cPower3" localSheetId="2">#REF!</definedName>
    <definedName name="cPower3">#REF!</definedName>
    <definedName name="cPower4" localSheetId="0">'1999 Triumph Sprint ST'!$B$8</definedName>
    <definedName name="cPower4" localSheetId="1">'1999 Triumph Sprint ST - BRG'!$B$8</definedName>
    <definedName name="cPower4" localSheetId="2">#REF!</definedName>
    <definedName name="cPower4">#REF!</definedName>
    <definedName name="cPower5" localSheetId="0">'1999 Triumph Sprint ST'!$B$9</definedName>
    <definedName name="cPower5" localSheetId="1">'1999 Triumph Sprint ST - BRG'!$B$9</definedName>
    <definedName name="cPower5" localSheetId="2">#REF!</definedName>
    <definedName name="cPower5">#REF!</definedName>
    <definedName name="cPower6" localSheetId="0">'1999 Triumph Sprint ST'!$B$10</definedName>
    <definedName name="cPower6" localSheetId="1">'1999 Triumph Sprint ST - BRG'!$B$10</definedName>
    <definedName name="cPower6" localSheetId="2">#REF!</definedName>
    <definedName name="cPower6">#REF!</definedName>
    <definedName name="cPower7" localSheetId="0">'1999 Triumph Sprint ST'!$B$11</definedName>
    <definedName name="cPower7" localSheetId="1">'1999 Triumph Sprint ST - BRG'!$B$11</definedName>
    <definedName name="cPower7" localSheetId="2">#REF!</definedName>
    <definedName name="cPower7">#REF!</definedName>
    <definedName name="cPower8" localSheetId="0">'1999 Triumph Sprint ST'!$B$12</definedName>
    <definedName name="cPower8" localSheetId="1">'1999 Triumph Sprint ST - BRG'!$B$12</definedName>
    <definedName name="cPower8" localSheetId="2">#REF!</definedName>
    <definedName name="cPower8">#REF!</definedName>
    <definedName name="cPower9" localSheetId="0">'1999 Triumph Sprint ST'!$B$13</definedName>
    <definedName name="cPower9" localSheetId="1">'1999 Triumph Sprint ST - BRG'!$B$13</definedName>
    <definedName name="cPower9" localSheetId="2">#REF!</definedName>
    <definedName name="cPower9">#REF!</definedName>
    <definedName name="cPowerRpmMax" localSheetId="0">'1999 Triumph Sprint ST'!$B$16</definedName>
    <definedName name="cPowerRpmMax" localSheetId="1">'1999 Triumph Sprint ST - BRG'!$B$16</definedName>
    <definedName name="cPowerRpmMax" localSheetId="2">#REF!</definedName>
    <definedName name="cPowerRpmMax">#REF!</definedName>
    <definedName name="Crown_1" localSheetId="0">'1999 Triumph Sprint ST'!$B$31</definedName>
    <definedName name="Crown_1" localSheetId="1">'1999 Triumph Sprint ST - BRG'!$B$31</definedName>
    <definedName name="Crown_1" localSheetId="2">#REF!</definedName>
    <definedName name="Crown_1">#REF!</definedName>
    <definedName name="Crown_2" localSheetId="0">'1999 Triumph Sprint ST'!$B$32</definedName>
    <definedName name="Crown_2" localSheetId="1">'1999 Triumph Sprint ST - BRG'!$B$32</definedName>
    <definedName name="Crown_2" localSheetId="2">#REF!</definedName>
    <definedName name="Crown_2">#REF!</definedName>
    <definedName name="Crown_3" localSheetId="0">'1999 Triumph Sprint ST'!$B$33</definedName>
    <definedName name="Crown_3" localSheetId="1">'1999 Triumph Sprint ST - BRG'!$B$33</definedName>
    <definedName name="Crown_3" localSheetId="2">#REF!</definedName>
    <definedName name="Crown_3">#REF!</definedName>
    <definedName name="Crown_4" localSheetId="0">'1999 Triumph Sprint ST'!$B$34</definedName>
    <definedName name="Crown_4" localSheetId="1">'1999 Triumph Sprint ST - BRG'!$B$34</definedName>
    <definedName name="Crown_4" localSheetId="2">#REF!</definedName>
    <definedName name="Crown_4">#REF!</definedName>
    <definedName name="Crown_5" localSheetId="0">'1999 Triumph Sprint ST'!$B$35</definedName>
    <definedName name="Crown_5" localSheetId="1">'1999 Triumph Sprint ST - BRG'!$B$35</definedName>
    <definedName name="Crown_5" localSheetId="2">#REF!</definedName>
    <definedName name="Crown_5">#REF!</definedName>
    <definedName name="Crown_6" localSheetId="0">'1999 Triumph Sprint ST'!$B$36</definedName>
    <definedName name="Crown_6" localSheetId="1">'1999 Triumph Sprint ST - BRG'!$B$36</definedName>
    <definedName name="Crown_6" localSheetId="2">#REF!</definedName>
    <definedName name="Crown_6">#REF!</definedName>
    <definedName name="Crown_f" localSheetId="0">'1999 Triumph Sprint ST'!$B$37</definedName>
    <definedName name="Crown_f" localSheetId="1">'1999 Triumph Sprint ST - BRG'!$B$37</definedName>
    <definedName name="Crown_f" localSheetId="2">#REF!</definedName>
    <definedName name="Crown_f">#REF!</definedName>
    <definedName name="Crown_p" localSheetId="0">'1999 Triumph Sprint ST'!$B$30</definedName>
    <definedName name="Crown_p" localSheetId="1">'1999 Triumph Sprint ST - BRG'!$B$30</definedName>
    <definedName name="Crown_p" localSheetId="2">#REF!</definedName>
    <definedName name="Crown_p">#REF!</definedName>
    <definedName name="efficiency" localSheetId="0">'1999 Triumph Sprint ST'!$B$44</definedName>
    <definedName name="efficiency" localSheetId="1">'1999 Triumph Sprint ST - BRG'!$B$44</definedName>
    <definedName name="efficiency" localSheetId="2">#REF!</definedName>
    <definedName name="efficiency">#REF!</definedName>
    <definedName name="Gearchange" localSheetId="0">'1999 Triumph Sprint ST'!$B$19</definedName>
    <definedName name="Gearchange" localSheetId="1">'1999 Triumph Sprint ST - BRG'!$B$19</definedName>
    <definedName name="Gearchange" localSheetId="2">#REF!</definedName>
    <definedName name="Gearchange">#REF!</definedName>
    <definedName name="Gearing_rpm" localSheetId="0">'1999 Triumph Sprint ST'!$D$25</definedName>
    <definedName name="Gearing_rpm" localSheetId="1">'1999 Triumph Sprint ST - BRG'!$D$25</definedName>
    <definedName name="Gearing_rpm" localSheetId="2">#REF!</definedName>
    <definedName name="Gearing_rpm">#REF!</definedName>
    <definedName name="Gearing_v" localSheetId="0">'1999 Triumph Sprint ST'!$B$25</definedName>
    <definedName name="Gearing_v" localSheetId="1">'1999 Triumph Sprint ST - BRG'!$B$25</definedName>
    <definedName name="Gearing_v" localSheetId="2">#REF!</definedName>
    <definedName name="Gearing_v">#REF!</definedName>
    <definedName name="incline" localSheetId="0">'1999 Triumph Sprint ST'!$B$47</definedName>
    <definedName name="incline" localSheetId="1">'1999 Triumph Sprint ST - BRG'!$B$47</definedName>
    <definedName name="incline" localSheetId="2">#REF!</definedName>
    <definedName name="incline">#REF!</definedName>
    <definedName name="krpm0" localSheetId="0">'1999 Triumph Sprint ST'!$A$57</definedName>
    <definedName name="krpm0" localSheetId="1">'1999 Triumph Sprint ST - BRG'!$A$57</definedName>
    <definedName name="krpm0" localSheetId="2">#REF!</definedName>
    <definedName name="krpm0">#REF!</definedName>
    <definedName name="krpm1" localSheetId="0">'1999 Triumph Sprint ST'!$A$58</definedName>
    <definedName name="krpm1" localSheetId="1">'1999 Triumph Sprint ST - BRG'!$A$58</definedName>
    <definedName name="krpm1" localSheetId="2">#REF!</definedName>
    <definedName name="krpm1">#REF!</definedName>
    <definedName name="krpm10" localSheetId="0">'1999 Triumph Sprint ST'!$A$67</definedName>
    <definedName name="krpm10" localSheetId="1">'1999 Triumph Sprint ST - BRG'!$A$67</definedName>
    <definedName name="krpm10" localSheetId="2">#REF!</definedName>
    <definedName name="krpm10">#REF!</definedName>
    <definedName name="krpm11" localSheetId="0">'1999 Triumph Sprint ST'!$A$68</definedName>
    <definedName name="krpm11" localSheetId="1">'1999 Triumph Sprint ST - BRG'!$A$68</definedName>
    <definedName name="krpm11" localSheetId="2">#REF!</definedName>
    <definedName name="krpm11">#REF!</definedName>
    <definedName name="krpm2" localSheetId="0">'1999 Triumph Sprint ST'!$A$59</definedName>
    <definedName name="krpm2" localSheetId="1">'1999 Triumph Sprint ST - BRG'!$A$59</definedName>
    <definedName name="krpm2" localSheetId="2">#REF!</definedName>
    <definedName name="krpm2">#REF!</definedName>
    <definedName name="krpm3" localSheetId="0">'1999 Triumph Sprint ST'!$A$60</definedName>
    <definedName name="krpm3" localSheetId="1">'1999 Triumph Sprint ST - BRG'!$A$60</definedName>
    <definedName name="krpm3" localSheetId="2">#REF!</definedName>
    <definedName name="krpm3">#REF!</definedName>
    <definedName name="krpm4" localSheetId="0">'1999 Triumph Sprint ST'!$A$61</definedName>
    <definedName name="krpm4" localSheetId="1">'1999 Triumph Sprint ST - BRG'!$A$61</definedName>
    <definedName name="krpm4" localSheetId="2">#REF!</definedName>
    <definedName name="krpm4">#REF!</definedName>
    <definedName name="krpm5" localSheetId="0">'1999 Triumph Sprint ST'!$A$62</definedName>
    <definedName name="krpm5" localSheetId="1">'1999 Triumph Sprint ST - BRG'!$A$62</definedName>
    <definedName name="krpm5" localSheetId="2">#REF!</definedName>
    <definedName name="krpm5">#REF!</definedName>
    <definedName name="krpm6" localSheetId="0">'1999 Triumph Sprint ST'!$A$63</definedName>
    <definedName name="krpm6" localSheetId="1">'1999 Triumph Sprint ST - BRG'!$A$63</definedName>
    <definedName name="krpm6" localSheetId="2">#REF!</definedName>
    <definedName name="krpm6">#REF!</definedName>
    <definedName name="krpm7" localSheetId="0">'1999 Triumph Sprint ST'!$A$64</definedName>
    <definedName name="krpm7" localSheetId="1">'1999 Triumph Sprint ST - BRG'!$A$64</definedName>
    <definedName name="krpm7" localSheetId="2">#REF!</definedName>
    <definedName name="krpm7">#REF!</definedName>
    <definedName name="krpm8" localSheetId="0">'1999 Triumph Sprint ST'!$A$65</definedName>
    <definedName name="krpm8" localSheetId="1">'1999 Triumph Sprint ST - BRG'!$A$65</definedName>
    <definedName name="krpm8" localSheetId="2">#REF!</definedName>
    <definedName name="krpm8">#REF!</definedName>
    <definedName name="krpm9" localSheetId="0">'1999 Triumph Sprint ST'!$A$66</definedName>
    <definedName name="krpm9" localSheetId="1">'1999 Triumph Sprint ST - BRG'!$A$66</definedName>
    <definedName name="krpm9" localSheetId="2">#REF!</definedName>
    <definedName name="krpm9">#REF!</definedName>
    <definedName name="krpmMax" localSheetId="0">'1999 Triumph Sprint ST'!$A$69</definedName>
    <definedName name="krpmMax" localSheetId="1">'1999 Triumph Sprint ST - BRG'!$A$69</definedName>
    <definedName name="krpmMax" localSheetId="2">#REF!</definedName>
    <definedName name="krpmMax">#REF!</definedName>
    <definedName name="Loss_crank_gearbox" localSheetId="0">'1999 Triumph Sprint ST'!$B$20</definedName>
    <definedName name="Loss_crank_gearbox" localSheetId="1">'1999 Triumph Sprint ST - BRG'!$B$20</definedName>
    <definedName name="Loss_crank_gearbox" localSheetId="2">#REF!</definedName>
    <definedName name="Loss_crank_gearbox">#REF!</definedName>
    <definedName name="Loss_gearbox_wheel" localSheetId="0">'1999 Triumph Sprint ST'!$B$21</definedName>
    <definedName name="Loss_gearbox_wheel" localSheetId="1">'1999 Triumph Sprint ST - BRG'!$B$21</definedName>
    <definedName name="Loss_gearbox_wheel" localSheetId="2">#REF!</definedName>
    <definedName name="Loss_gearbox_wheel">#REF!</definedName>
    <definedName name="Loss_wheel_road" localSheetId="0">'1999 Triumph Sprint ST'!$B$22</definedName>
    <definedName name="Loss_wheel_road" localSheetId="1">'1999 Triumph Sprint ST - BRG'!$B$22</definedName>
    <definedName name="Loss_wheel_road" localSheetId="2">#REF!</definedName>
    <definedName name="Loss_wheel_road">#REF!</definedName>
    <definedName name="M_accessories" localSheetId="0">'1999 Triumph Sprint ST'!$B$23</definedName>
    <definedName name="M_accessories" localSheetId="1">'1999 Triumph Sprint ST - BRG'!$B$23</definedName>
    <definedName name="M_accessories" localSheetId="2">#REF!</definedName>
    <definedName name="M_accessories">#REF!</definedName>
    <definedName name="M_bike" localSheetId="0">'1999 Triumph Sprint ST'!$B$38</definedName>
    <definedName name="M_bike" localSheetId="1">'1999 Triumph Sprint ST - BRG'!$B$38</definedName>
    <definedName name="M_bike" localSheetId="2">#REF!</definedName>
    <definedName name="M_bike">#REF!</definedName>
    <definedName name="M_rider" localSheetId="0">'1999 Triumph Sprint ST'!$B$24</definedName>
    <definedName name="M_rider" localSheetId="1">'1999 Triumph Sprint ST - BRG'!$B$24</definedName>
    <definedName name="M_rider" localSheetId="2">#REF!</definedName>
    <definedName name="M_rider">#REF!</definedName>
    <definedName name="M_tot" localSheetId="0">'1999 Triumph Sprint ST'!$B$43</definedName>
    <definedName name="M_tot" localSheetId="1">'1999 Triumph Sprint ST - BRG'!$B$43</definedName>
    <definedName name="M_tot" localSheetId="2">#REF!</definedName>
    <definedName name="M_tot">#REF!</definedName>
    <definedName name="Pinion_1" localSheetId="0">'1999 Triumph Sprint ST'!$C$31</definedName>
    <definedName name="Pinion_1" localSheetId="1">'1999 Triumph Sprint ST - BRG'!$C$31</definedName>
    <definedName name="Pinion_1" localSheetId="2">#REF!</definedName>
    <definedName name="Pinion_1">#REF!</definedName>
    <definedName name="Pinion_2" localSheetId="0">'1999 Triumph Sprint ST'!$C$32</definedName>
    <definedName name="Pinion_2" localSheetId="1">'1999 Triumph Sprint ST - BRG'!$C$32</definedName>
    <definedName name="Pinion_2" localSheetId="2">#REF!</definedName>
    <definedName name="Pinion_2">#REF!</definedName>
    <definedName name="Pinion_3" localSheetId="0">'1999 Triumph Sprint ST'!$C$33</definedName>
    <definedName name="Pinion_3" localSheetId="1">'1999 Triumph Sprint ST - BRG'!$C$33</definedName>
    <definedName name="Pinion_3" localSheetId="2">#REF!</definedName>
    <definedName name="Pinion_3">#REF!</definedName>
    <definedName name="Pinion_4" localSheetId="0">'1999 Triumph Sprint ST'!$C$34</definedName>
    <definedName name="Pinion_4" localSheetId="1">'1999 Triumph Sprint ST - BRG'!$C$34</definedName>
    <definedName name="Pinion_4" localSheetId="2">#REF!</definedName>
    <definedName name="Pinion_4">#REF!</definedName>
    <definedName name="Pinion_5" localSheetId="0">'1999 Triumph Sprint ST'!$C$35</definedName>
    <definedName name="Pinion_5" localSheetId="1">'1999 Triumph Sprint ST - BRG'!$C$35</definedName>
    <definedName name="Pinion_5" localSheetId="2">#REF!</definedName>
    <definedName name="Pinion_5">#REF!</definedName>
    <definedName name="Pinion_6" localSheetId="0">'1999 Triumph Sprint ST'!$C$36</definedName>
    <definedName name="Pinion_6" localSheetId="1">'1999 Triumph Sprint ST - BRG'!$C$36</definedName>
    <definedName name="Pinion_6" localSheetId="2">#REF!</definedName>
    <definedName name="Pinion_6">#REF!</definedName>
    <definedName name="Pinion_f" localSheetId="0">'1999 Triumph Sprint ST'!$C$37</definedName>
    <definedName name="Pinion_f" localSheetId="1">'1999 Triumph Sprint ST - BRG'!$C$37</definedName>
    <definedName name="Pinion_f" localSheetId="2">#REF!</definedName>
    <definedName name="Pinion_f">#REF!</definedName>
    <definedName name="Pinion_p" localSheetId="0">'1999 Triumph Sprint ST'!$C$30</definedName>
    <definedName name="Pinion_p" localSheetId="1">'1999 Triumph Sprint ST - BRG'!$C$30</definedName>
    <definedName name="Pinion_p" localSheetId="2">#REF!</definedName>
    <definedName name="Pinion_p">#REF!</definedName>
    <definedName name="Power1" localSheetId="0">'1999 Triumph Sprint ST'!$B$58</definedName>
    <definedName name="Power1" localSheetId="1">'1999 Triumph Sprint ST - BRG'!$B$58</definedName>
    <definedName name="Power1" localSheetId="2">#REF!</definedName>
    <definedName name="Power1">#REF!</definedName>
    <definedName name="Power10" localSheetId="0">'1999 Triumph Sprint ST'!$B$67</definedName>
    <definedName name="Power10" localSheetId="1">'1999 Triumph Sprint ST - BRG'!$B$67</definedName>
    <definedName name="Power10" localSheetId="2">#REF!</definedName>
    <definedName name="Power10">#REF!</definedName>
    <definedName name="Power11" localSheetId="0">'1999 Triumph Sprint ST'!$B$68</definedName>
    <definedName name="Power11" localSheetId="1">'1999 Triumph Sprint ST - BRG'!$B$68</definedName>
    <definedName name="Power11" localSheetId="2">#REF!</definedName>
    <definedName name="Power11">#REF!</definedName>
    <definedName name="Power2" localSheetId="0">'1999 Triumph Sprint ST'!$B$59</definedName>
    <definedName name="Power2" localSheetId="1">'1999 Triumph Sprint ST - BRG'!$B$59</definedName>
    <definedName name="Power2" localSheetId="2">#REF!</definedName>
    <definedName name="Power2">#REF!</definedName>
    <definedName name="Power3" localSheetId="0">'1999 Triumph Sprint ST'!$B$60</definedName>
    <definedName name="Power3" localSheetId="1">'1999 Triumph Sprint ST - BRG'!$B$60</definedName>
    <definedName name="Power3" localSheetId="2">#REF!</definedName>
    <definedName name="Power3">#REF!</definedName>
    <definedName name="Power4" localSheetId="0">'1999 Triumph Sprint ST'!$B$61</definedName>
    <definedName name="Power4" localSheetId="1">'1999 Triumph Sprint ST - BRG'!$B$61</definedName>
    <definedName name="Power4" localSheetId="2">#REF!</definedName>
    <definedName name="Power4">#REF!</definedName>
    <definedName name="Power5" localSheetId="0">'1999 Triumph Sprint ST'!$B$62</definedName>
    <definedName name="Power5" localSheetId="1">'1999 Triumph Sprint ST - BRG'!$B$62</definedName>
    <definedName name="Power5" localSheetId="2">#REF!</definedName>
    <definedName name="Power5">#REF!</definedName>
    <definedName name="Power6" localSheetId="0">'1999 Triumph Sprint ST'!$B$63</definedName>
    <definedName name="Power6" localSheetId="1">'1999 Triumph Sprint ST - BRG'!$B$63</definedName>
    <definedName name="Power6" localSheetId="2">#REF!</definedName>
    <definedName name="Power6">#REF!</definedName>
    <definedName name="Power7" localSheetId="0">'1999 Triumph Sprint ST'!$B$64</definedName>
    <definedName name="Power7" localSheetId="1">'1999 Triumph Sprint ST - BRG'!$B$64</definedName>
    <definedName name="Power7" localSheetId="2">#REF!</definedName>
    <definedName name="Power7">#REF!</definedName>
    <definedName name="Power8" localSheetId="0">'1999 Triumph Sprint ST'!$B$65</definedName>
    <definedName name="Power8" localSheetId="1">'1999 Triumph Sprint ST - BRG'!$B$65</definedName>
    <definedName name="Power8" localSheetId="2">#REF!</definedName>
    <definedName name="Power8">#REF!</definedName>
    <definedName name="Power9" localSheetId="0">'1999 Triumph Sprint ST'!$B$66</definedName>
    <definedName name="Power9" localSheetId="1">'1999 Triumph Sprint ST - BRG'!$B$66</definedName>
    <definedName name="Power9" localSheetId="2">#REF!</definedName>
    <definedName name="Power9">#REF!</definedName>
    <definedName name="PowerRpmMax" localSheetId="0">'1999 Triumph Sprint ST'!$B$69</definedName>
    <definedName name="PowerRpmMax" localSheetId="1">'1999 Triumph Sprint ST - BRG'!$B$69</definedName>
    <definedName name="PowerRpmMax" localSheetId="2">#REF!</definedName>
    <definedName name="PowerRpmMax">#REF!</definedName>
    <definedName name="r_wheel" localSheetId="0">'1999 Triumph Sprint ST'!$B$45</definedName>
    <definedName name="r_wheel" localSheetId="1">'1999 Triumph Sprint ST - BRG'!$B$45</definedName>
    <definedName name="r_wheel" localSheetId="2">#REF!</definedName>
    <definedName name="r_wheel">#REF!</definedName>
    <definedName name="Ratio1" localSheetId="0">'1999 Triumph Sprint ST'!$D$31</definedName>
    <definedName name="Ratio1" localSheetId="1">'1999 Triumph Sprint ST - BRG'!$D$31</definedName>
    <definedName name="Ratio1" localSheetId="2">#REF!</definedName>
    <definedName name="Ratio1">#REF!</definedName>
    <definedName name="Ratio2" localSheetId="0">'1999 Triumph Sprint ST'!$D$32</definedName>
    <definedName name="Ratio2" localSheetId="1">'1999 Triumph Sprint ST - BRG'!$D$32</definedName>
    <definedName name="Ratio2" localSheetId="2">#REF!</definedName>
    <definedName name="Ratio2">#REF!</definedName>
    <definedName name="Ratio3" localSheetId="0">'1999 Triumph Sprint ST'!$D$33</definedName>
    <definedName name="Ratio3" localSheetId="1">'1999 Triumph Sprint ST - BRG'!$D$33</definedName>
    <definedName name="Ratio3" localSheetId="2">#REF!</definedName>
    <definedName name="Ratio3">#REF!</definedName>
    <definedName name="Ratio4" localSheetId="0">'1999 Triumph Sprint ST'!$D$34</definedName>
    <definedName name="Ratio4" localSheetId="1">'1999 Triumph Sprint ST - BRG'!$D$34</definedName>
    <definedName name="Ratio4" localSheetId="2">#REF!</definedName>
    <definedName name="Ratio4">#REF!</definedName>
    <definedName name="Ratio5" localSheetId="0">'1999 Triumph Sprint ST'!$D$35</definedName>
    <definedName name="Ratio5" localSheetId="1">'1999 Triumph Sprint ST - BRG'!$D$35</definedName>
    <definedName name="Ratio5" localSheetId="2">#REF!</definedName>
    <definedName name="Ratio5">#REF!</definedName>
    <definedName name="Ratio6" localSheetId="0">'1999 Triumph Sprint ST'!$D$36</definedName>
    <definedName name="Ratio6" localSheetId="1">'1999 Triumph Sprint ST - BRG'!$D$36</definedName>
    <definedName name="Ratio6" localSheetId="2">#REF!</definedName>
    <definedName name="Ratio6">#REF!</definedName>
    <definedName name="rpm1" localSheetId="0">'1999 Triumph Sprint ST'!$C$5</definedName>
    <definedName name="rpm1" localSheetId="1">'1999 Triumph Sprint ST - BRG'!$C$5</definedName>
    <definedName name="rpm1" localSheetId="2">#REF!</definedName>
    <definedName name="rpm1">#REF!</definedName>
    <definedName name="rpm10" localSheetId="0">'1999 Triumph Sprint ST'!$C$14</definedName>
    <definedName name="rpm10" localSheetId="1">'1999 Triumph Sprint ST - BRG'!$C$14</definedName>
    <definedName name="rpm10" localSheetId="2">#REF!</definedName>
    <definedName name="rpm10">#REF!</definedName>
    <definedName name="rpm11" localSheetId="0">'1999 Triumph Sprint ST'!$C$15</definedName>
    <definedName name="rpm11" localSheetId="1">'1999 Triumph Sprint ST - BRG'!$C$15</definedName>
    <definedName name="rpm11" localSheetId="2">#REF!</definedName>
    <definedName name="rpm11">#REF!</definedName>
    <definedName name="rpm2" localSheetId="0">'1999 Triumph Sprint ST'!$C$6</definedName>
    <definedName name="rpm2" localSheetId="1">'1999 Triumph Sprint ST - BRG'!$C$6</definedName>
    <definedName name="rpm2" localSheetId="2">#REF!</definedName>
    <definedName name="rpm2">#REF!</definedName>
    <definedName name="rpm3" localSheetId="0">'1999 Triumph Sprint ST'!$C$7</definedName>
    <definedName name="rpm3" localSheetId="1">'1999 Triumph Sprint ST - BRG'!$C$7</definedName>
    <definedName name="rpm3" localSheetId="2">#REF!</definedName>
    <definedName name="rpm3">#REF!</definedName>
    <definedName name="rpm4" localSheetId="0">'1999 Triumph Sprint ST'!$C$8</definedName>
    <definedName name="rpm4" localSheetId="1">'1999 Triumph Sprint ST - BRG'!$C$8</definedName>
    <definedName name="rpm4" localSheetId="2">#REF!</definedName>
    <definedName name="rpm4">#REF!</definedName>
    <definedName name="rpm5" localSheetId="0">'1999 Triumph Sprint ST'!$C$9</definedName>
    <definedName name="rpm5" localSheetId="1">'1999 Triumph Sprint ST - BRG'!$C$9</definedName>
    <definedName name="rpm5" localSheetId="2">#REF!</definedName>
    <definedName name="rpm5">#REF!</definedName>
    <definedName name="rpm6" localSheetId="0">'1999 Triumph Sprint ST'!$C$10</definedName>
    <definedName name="rpm6" localSheetId="1">'1999 Triumph Sprint ST - BRG'!$C$10</definedName>
    <definedName name="rpm6" localSheetId="2">#REF!</definedName>
    <definedName name="rpm6">#REF!</definedName>
    <definedName name="rpm7" localSheetId="0">'1999 Triumph Sprint ST'!$C$11</definedName>
    <definedName name="rpm7" localSheetId="1">'1999 Triumph Sprint ST - BRG'!$C$11</definedName>
    <definedName name="rpm7" localSheetId="2">#REF!</definedName>
    <definedName name="rpm7">#REF!</definedName>
    <definedName name="rpm8" localSheetId="0">'1999 Triumph Sprint ST'!$C$12</definedName>
    <definedName name="rpm8" localSheetId="1">'1999 Triumph Sprint ST - BRG'!$C$12</definedName>
    <definedName name="rpm8" localSheetId="2">#REF!</definedName>
    <definedName name="rpm8">#REF!</definedName>
    <definedName name="rpm9" localSheetId="0">'1999 Triumph Sprint ST'!$C$13</definedName>
    <definedName name="rpm9" localSheetId="1">'1999 Triumph Sprint ST - BRG'!$C$13</definedName>
    <definedName name="rpm9" localSheetId="2">#REF!</definedName>
    <definedName name="rpm9">#REF!</definedName>
    <definedName name="rpmMax" localSheetId="0">'1999 Triumph Sprint ST'!$C$16</definedName>
    <definedName name="rpmMax" localSheetId="1">'1999 Triumph Sprint ST - BRG'!$C$16</definedName>
    <definedName name="rpmMax" localSheetId="2">#REF!</definedName>
    <definedName name="rpmMax">#REF!</definedName>
    <definedName name="Torque1" localSheetId="0">'1999 Triumph Sprint ST'!$C$58</definedName>
    <definedName name="Torque1" localSheetId="1">'1999 Triumph Sprint ST - BRG'!$C$58</definedName>
    <definedName name="Torque1" localSheetId="2">#REF!</definedName>
    <definedName name="Torque1">#REF!</definedName>
    <definedName name="Torque10" localSheetId="0">'1999 Triumph Sprint ST'!$C$67</definedName>
    <definedName name="Torque10" localSheetId="1">'1999 Triumph Sprint ST - BRG'!$C$67</definedName>
    <definedName name="Torque10" localSheetId="2">#REF!</definedName>
    <definedName name="Torque10">#REF!</definedName>
    <definedName name="Torque11" localSheetId="0">'1999 Triumph Sprint ST'!$C$68</definedName>
    <definedName name="Torque11" localSheetId="1">'1999 Triumph Sprint ST - BRG'!$C$68</definedName>
    <definedName name="Torque11" localSheetId="2">#REF!</definedName>
    <definedName name="Torque11">#REF!</definedName>
    <definedName name="Torque2" localSheetId="0">'1999 Triumph Sprint ST'!$C$59</definedName>
    <definedName name="Torque2" localSheetId="1">'1999 Triumph Sprint ST - BRG'!$C$59</definedName>
    <definedName name="Torque2" localSheetId="2">#REF!</definedName>
    <definedName name="Torque2">#REF!</definedName>
    <definedName name="Torque3" localSheetId="0">'1999 Triumph Sprint ST'!$C$60</definedName>
    <definedName name="Torque3" localSheetId="1">'1999 Triumph Sprint ST - BRG'!$C$60</definedName>
    <definedName name="Torque3" localSheetId="2">#REF!</definedName>
    <definedName name="Torque3">#REF!</definedName>
    <definedName name="Torque4" localSheetId="0">'1999 Triumph Sprint ST'!$C$61</definedName>
    <definedName name="Torque4" localSheetId="1">'1999 Triumph Sprint ST - BRG'!$C$61</definedName>
    <definedName name="Torque4" localSheetId="2">#REF!</definedName>
    <definedName name="Torque4">#REF!</definedName>
    <definedName name="Torque5" localSheetId="0">'1999 Triumph Sprint ST'!$C$62</definedName>
    <definedName name="Torque5" localSheetId="1">'1999 Triumph Sprint ST - BRG'!$C$62</definedName>
    <definedName name="Torque5" localSheetId="2">#REF!</definedName>
    <definedName name="Torque5">#REF!</definedName>
    <definedName name="Torque6" localSheetId="0">'1999 Triumph Sprint ST'!$C$63</definedName>
    <definedName name="Torque6" localSheetId="1">'1999 Triumph Sprint ST - BRG'!$C$63</definedName>
    <definedName name="Torque6" localSheetId="2">#REF!</definedName>
    <definedName name="Torque6">#REF!</definedName>
    <definedName name="Torque7" localSheetId="0">'1999 Triumph Sprint ST'!$C$64</definedName>
    <definedName name="Torque7" localSheetId="1">'1999 Triumph Sprint ST - BRG'!$C$64</definedName>
    <definedName name="Torque7" localSheetId="2">#REF!</definedName>
    <definedName name="Torque7">#REF!</definedName>
    <definedName name="Torque8" localSheetId="0">'1999 Triumph Sprint ST'!$C$65</definedName>
    <definedName name="Torque8" localSheetId="1">'1999 Triumph Sprint ST - BRG'!$C$65</definedName>
    <definedName name="Torque8" localSheetId="2">#REF!</definedName>
    <definedName name="Torque8">#REF!</definedName>
    <definedName name="Torque9" localSheetId="0">'1999 Triumph Sprint ST'!$C$66</definedName>
    <definedName name="Torque9" localSheetId="1">'1999 Triumph Sprint ST - BRG'!$C$66</definedName>
    <definedName name="Torque9" localSheetId="2">#REF!</definedName>
    <definedName name="Torque9">#REF!</definedName>
    <definedName name="TorqueRpmMax" localSheetId="0">'1999 Triumph Sprint ST'!$C$69</definedName>
    <definedName name="TorqueRpmMax" localSheetId="1">'1999 Triumph Sprint ST - BRG'!$C$69</definedName>
    <definedName name="TorqueRpmMax" localSheetId="2">#REF!</definedName>
    <definedName name="TorqueRpmMax">#REF!</definedName>
    <definedName name="V_fork" localSheetId="0">'1999 Triumph Sprint ST'!$B$41</definedName>
    <definedName name="V_fork" localSheetId="1">'1999 Triumph Sprint ST - BRG'!$B$41</definedName>
    <definedName name="V_fork" localSheetId="2">#REF!</definedName>
    <definedName name="V_fork">#REF!</definedName>
    <definedName name="V_fuel" localSheetId="0">'1999 Triumph Sprint ST'!$B$39</definedName>
    <definedName name="V_fuel" localSheetId="1">'1999 Triumph Sprint ST - BRG'!$B$39</definedName>
    <definedName name="V_fuel" localSheetId="2">#REF!</definedName>
    <definedName name="V_fuel">#REF!</definedName>
    <definedName name="V_oil" localSheetId="0">'1999 Triumph Sprint ST'!$B$40</definedName>
    <definedName name="V_oil" localSheetId="1">'1999 Triumph Sprint ST - BRG'!$B$40</definedName>
    <definedName name="V_oil" localSheetId="2">#REF!</definedName>
    <definedName name="V_oil">#REF!</definedName>
    <definedName name="V_water" localSheetId="0">'1999 Triumph Sprint ST'!$B$42</definedName>
    <definedName name="V_water" localSheetId="1">'1999 Triumph Sprint ST - BRG'!$B$42</definedName>
    <definedName name="V_water" localSheetId="2">#REF!</definedName>
    <definedName name="V_water">#REF!</definedName>
    <definedName name="Vmax_actual" localSheetId="0">'1999 Triumph Sprint ST'!$B$26</definedName>
    <definedName name="Vmax_actual" localSheetId="1">'1999 Triumph Sprint ST - BRG'!$B$26</definedName>
    <definedName name="Vmax_actual" localSheetId="2">#REF!</definedName>
    <definedName name="Vmax_actual">#REF!</definedName>
    <definedName name="vmax1" localSheetId="0">'1999 Triumph Sprint ST'!$B$52</definedName>
    <definedName name="vmax1" localSheetId="1">'1999 Triumph Sprint ST - BRG'!$B$52</definedName>
    <definedName name="vmax1" localSheetId="2">#REF!</definedName>
    <definedName name="vmax1">#REF!</definedName>
    <definedName name="vmax2" localSheetId="0">'1999 Triumph Sprint ST'!$C$52</definedName>
    <definedName name="vmax2" localSheetId="1">'1999 Triumph Sprint ST - BRG'!$C$52</definedName>
    <definedName name="vmax2" localSheetId="2">#REF!</definedName>
    <definedName name="vmax2">#REF!</definedName>
    <definedName name="vmax3" localSheetId="0">'1999 Triumph Sprint ST'!$D$52</definedName>
    <definedName name="vmax3" localSheetId="1">'1999 Triumph Sprint ST - BRG'!$D$52</definedName>
    <definedName name="vmax3" localSheetId="2">#REF!</definedName>
    <definedName name="vmax3">#REF!</definedName>
    <definedName name="vmax4" localSheetId="0">'1999 Triumph Sprint ST'!$E$52</definedName>
    <definedName name="vmax4" localSheetId="1">'1999 Triumph Sprint ST - BRG'!$E$52</definedName>
    <definedName name="vmax4" localSheetId="2">#REF!</definedName>
    <definedName name="vmax4">#REF!</definedName>
    <definedName name="vmax5" localSheetId="0">'1999 Triumph Sprint ST'!$F$52</definedName>
    <definedName name="vmax5" localSheetId="1">'1999 Triumph Sprint ST - BRG'!$F$52</definedName>
    <definedName name="vmax5" localSheetId="2">#REF!</definedName>
    <definedName name="vmax5">#REF!</definedName>
    <definedName name="vmax6" localSheetId="0">'1999 Triumph Sprint ST'!$G$52</definedName>
    <definedName name="vmax6" localSheetId="1">'1999 Triumph Sprint ST - BRG'!$G$52</definedName>
    <definedName name="vmax6" localSheetId="2">#REF!</definedName>
    <definedName name="vmax6">#REF!</definedName>
    <definedName name="vmax6mps1" localSheetId="2">#REF!</definedName>
    <definedName name="vmax6mps1">#REF!</definedName>
    <definedName name="vmax6mps3" localSheetId="0">'1999 Triumph Sprint ST'!$B$46</definedName>
    <definedName name="vmax6mps3" localSheetId="1">'1999 Triumph Sprint ST - BRG'!$B$46</definedName>
    <definedName name="vmax6mps3" localSheetId="2">#REF!</definedName>
    <definedName name="vmax6mps3">#REF!</definedName>
    <definedName name="vmax6mps4" localSheetId="2">#REF!</definedName>
    <definedName name="vmax6mps4">#REF!</definedName>
  </definedNames>
  <calcPr fullCalcOnLoad="1"/>
</workbook>
</file>

<file path=xl/comments1.xml><?xml version="1.0" encoding="utf-8"?>
<comments xmlns="http://schemas.openxmlformats.org/spreadsheetml/2006/main">
  <authors>
    <author>Keith Tynan</author>
  </authors>
  <commentList>
    <comment ref="K111" authorId="0">
      <text>
        <r>
          <rPr>
            <b/>
            <sz val="10"/>
            <rFont val="Tahoma"/>
            <family val="2"/>
          </rPr>
          <t>delta_s = 0.5(v_end-v_start) * delta_t</t>
        </r>
      </text>
    </comment>
    <comment ref="A2" authorId="0">
      <text>
        <r>
          <rPr>
            <b/>
            <sz val="8"/>
            <rFont val="Tahoma"/>
            <family val="0"/>
          </rPr>
          <t>Keith Tynan:</t>
        </r>
        <r>
          <rPr>
            <sz val="8"/>
            <rFont val="Tahoma"/>
            <family val="0"/>
          </rPr>
          <t xml:space="preserve">
2001/02/06 Initial issue</t>
        </r>
      </text>
    </comment>
    <comment ref="C111" authorId="0">
      <text>
        <r>
          <rPr>
            <b/>
            <sz val="8"/>
            <rFont val="Tahoma"/>
            <family val="0"/>
          </rPr>
          <t>Keith Tynan:</t>
        </r>
        <r>
          <rPr>
            <sz val="8"/>
            <rFont val="Tahoma"/>
            <family val="0"/>
          </rPr>
          <t xml:space="preserve">
Take-off uses Tmax for simplicity.
See associated read-me for details.</t>
        </r>
      </text>
    </comment>
  </commentList>
</comments>
</file>

<file path=xl/comments2.xml><?xml version="1.0" encoding="utf-8"?>
<comments xmlns="http://schemas.openxmlformats.org/spreadsheetml/2006/main">
  <authors>
    <author>Keith Tynan</author>
  </authors>
  <commentList>
    <comment ref="K111" authorId="0">
      <text>
        <r>
          <rPr>
            <b/>
            <sz val="10"/>
            <rFont val="Tahoma"/>
            <family val="2"/>
          </rPr>
          <t>delta_s = 0.5(v_end-v_start) * delta_t</t>
        </r>
      </text>
    </comment>
    <comment ref="A2" authorId="0">
      <text>
        <r>
          <rPr>
            <b/>
            <sz val="8"/>
            <rFont val="Tahoma"/>
            <family val="0"/>
          </rPr>
          <t>Keith Tynan:</t>
        </r>
        <r>
          <rPr>
            <sz val="8"/>
            <rFont val="Tahoma"/>
            <family val="0"/>
          </rPr>
          <t xml:space="preserve">
2001/02/06 Initial issue</t>
        </r>
      </text>
    </comment>
    <comment ref="C111" authorId="0">
      <text>
        <r>
          <rPr>
            <b/>
            <sz val="8"/>
            <rFont val="Tahoma"/>
            <family val="0"/>
          </rPr>
          <t>Keith Tynan:</t>
        </r>
        <r>
          <rPr>
            <sz val="8"/>
            <rFont val="Tahoma"/>
            <family val="0"/>
          </rPr>
          <t xml:space="preserve">
Take-off uses Tmax for simplicity.
See associated read-me for details.</t>
        </r>
      </text>
    </comment>
  </commentList>
</comments>
</file>

<file path=xl/sharedStrings.xml><?xml version="1.0" encoding="utf-8"?>
<sst xmlns="http://schemas.openxmlformats.org/spreadsheetml/2006/main" count="314" uniqueCount="137">
  <si>
    <t>m/s</t>
  </si>
  <si>
    <t>km/h</t>
  </si>
  <si>
    <t>rpm</t>
  </si>
  <si>
    <t>Nm</t>
  </si>
  <si>
    <t>s</t>
  </si>
  <si>
    <t>V</t>
  </si>
  <si>
    <t>kg</t>
  </si>
  <si>
    <t>krpm</t>
  </si>
  <si>
    <t>Tc</t>
  </si>
  <si>
    <t>Crown</t>
  </si>
  <si>
    <t>Pinion</t>
  </si>
  <si>
    <t>Vmax in gears</t>
  </si>
  <si>
    <t>Gearing</t>
  </si>
  <si>
    <t>kW</t>
  </si>
  <si>
    <t>TE</t>
  </si>
  <si>
    <t>TE scale</t>
  </si>
  <si>
    <t>t</t>
  </si>
  <si>
    <t>Acceleration (theoretical)</t>
  </si>
  <si>
    <t>mph</t>
  </si>
  <si>
    <t>Specification data</t>
  </si>
  <si>
    <t>Max rpm</t>
  </si>
  <si>
    <t>Mass bike</t>
  </si>
  <si>
    <t>Mass rider</t>
  </si>
  <si>
    <t>Loss crank-gearbox</t>
  </si>
  <si>
    <t>Loss gearbox-wheel</t>
  </si>
  <si>
    <t>Gear primary</t>
  </si>
  <si>
    <t>Gear 1</t>
  </si>
  <si>
    <t>Gear 2</t>
  </si>
  <si>
    <t>Gear 3</t>
  </si>
  <si>
    <t>Gear 4</t>
  </si>
  <si>
    <t>Gear 5</t>
  </si>
  <si>
    <t>Gear 6</t>
  </si>
  <si>
    <t>Gear final</t>
  </si>
  <si>
    <t>Drag coefficient</t>
  </si>
  <si>
    <t>Volume fuel</t>
  </si>
  <si>
    <t>Volume water</t>
  </si>
  <si>
    <t>Mass accessories</t>
  </si>
  <si>
    <t>lit</t>
  </si>
  <si>
    <t>Total mass</t>
  </si>
  <si>
    <t>Wheel radius</t>
  </si>
  <si>
    <t>gear</t>
  </si>
  <si>
    <t>R gradient</t>
  </si>
  <si>
    <t>R air</t>
  </si>
  <si>
    <t>R total</t>
  </si>
  <si>
    <t>Resistance to motion [N]</t>
  </si>
  <si>
    <t>Velocity max</t>
  </si>
  <si>
    <t>Road incline</t>
  </si>
  <si>
    <t>deg</t>
  </si>
  <si>
    <t>R tot</t>
  </si>
  <si>
    <t>a</t>
  </si>
  <si>
    <t>TE road</t>
  </si>
  <si>
    <t>Quarter</t>
  </si>
  <si>
    <t>dt</t>
  </si>
  <si>
    <t>V (m/s)</t>
  </si>
  <si>
    <t>ds(m)</t>
  </si>
  <si>
    <t>s(m)</t>
  </si>
  <si>
    <t xml:space="preserve">Volume oil </t>
  </si>
  <si>
    <t>Volume fork oil</t>
  </si>
  <si>
    <t>Crank power 1</t>
  </si>
  <si>
    <t>Crank power 2</t>
  </si>
  <si>
    <t>Crank power 3</t>
  </si>
  <si>
    <t>Crank power 4</t>
  </si>
  <si>
    <t>Crank power 5</t>
  </si>
  <si>
    <t>Crank power 6</t>
  </si>
  <si>
    <t>Crank power 7</t>
  </si>
  <si>
    <t>Crank power max</t>
  </si>
  <si>
    <t>m*m</t>
  </si>
  <si>
    <t>Ratio</t>
  </si>
  <si>
    <t>s  @</t>
  </si>
  <si>
    <t>Performance</t>
  </si>
  <si>
    <t>EU 95/1</t>
  </si>
  <si>
    <t>Sectional area</t>
  </si>
  <si>
    <t>Gearchange time</t>
  </si>
  <si>
    <t>km/h @</t>
  </si>
  <si>
    <t>V (km/h)</t>
  </si>
  <si>
    <t>0-</t>
  </si>
  <si>
    <t>Crank power 8</t>
  </si>
  <si>
    <t>Actual top speed</t>
  </si>
  <si>
    <t xml:space="preserve">km/h  </t>
  </si>
  <si>
    <t>Vmax</t>
  </si>
  <si>
    <t>Measured data</t>
  </si>
  <si>
    <t>m     (0.311)</t>
  </si>
  <si>
    <t>Calculated torque (crankshaft)</t>
  </si>
  <si>
    <t>TX efficiency</t>
  </si>
  <si>
    <t>Loss wheel-road</t>
  </si>
  <si>
    <t>(4.66%)</t>
  </si>
  <si>
    <t>(4.62%)</t>
  </si>
  <si>
    <t>(8.06%)</t>
  </si>
  <si>
    <t>Net tractive effort @ road [N] - exlcudes resistances</t>
  </si>
  <si>
    <t>Crank power 9</t>
  </si>
  <si>
    <t>Crank power 10</t>
  </si>
  <si>
    <t>Crank power 11</t>
  </si>
  <si>
    <t>torque</t>
  </si>
  <si>
    <t>Total</t>
  </si>
  <si>
    <t>Elasticity index</t>
  </si>
  <si>
    <t>P road</t>
  </si>
  <si>
    <t>TE net</t>
  </si>
  <si>
    <t>Pmax on TE scale</t>
  </si>
  <si>
    <t>Mauve = enter</t>
  </si>
  <si>
    <t>Red = change up</t>
  </si>
  <si>
    <t>© 2001 Keith Tynan</t>
  </si>
  <si>
    <t>Source:</t>
  </si>
  <si>
    <t>speed/rpm</t>
  </si>
  <si>
    <t>Tmax on P scale</t>
  </si>
  <si>
    <t>Pcopy</t>
  </si>
  <si>
    <t>T copy</t>
  </si>
  <si>
    <t>Tmax</t>
  </si>
  <si>
    <t>Pm</t>
  </si>
  <si>
    <t>Bike Magazine Feb 1999 = 11.3s/114mph</t>
  </si>
  <si>
    <t>lit   (21 max)</t>
  </si>
  <si>
    <t>P net</t>
  </si>
  <si>
    <t>gearchange</t>
  </si>
  <si>
    <t>Bike Feb 1999</t>
  </si>
  <si>
    <t>Graph Data</t>
  </si>
  <si>
    <t>mm</t>
  </si>
  <si>
    <t>bhp@wheel</t>
  </si>
  <si>
    <t>kw@wheel</t>
  </si>
  <si>
    <t>bhp@crank</t>
  </si>
  <si>
    <t>kw@crank</t>
  </si>
  <si>
    <t>mm@100bhp</t>
  </si>
  <si>
    <t>Efficiency</t>
  </si>
  <si>
    <t>Magazine measurements</t>
  </si>
  <si>
    <t>Bike Magazine Feb 1999 &amp; Triumph Service Manual issue 1 1998/12</t>
  </si>
  <si>
    <t>1999 Triumph Sprint ST</t>
  </si>
  <si>
    <t>1999 Triumph Sprint ST - BRG</t>
  </si>
  <si>
    <t>BRG dyno run (Fuchs) &amp; Triumph Service Manual issue 1 1998/12</t>
  </si>
  <si>
    <t>%Improvement</t>
  </si>
  <si>
    <t>Power</t>
  </si>
  <si>
    <t>0-60 mph</t>
  </si>
  <si>
    <t>Torque</t>
  </si>
  <si>
    <t>0-100 mph</t>
  </si>
  <si>
    <t xml:space="preserve">ss 1/4 </t>
  </si>
  <si>
    <t>Elasticity</t>
  </si>
  <si>
    <t>BRG</t>
  </si>
  <si>
    <t>Bike (std)</t>
  </si>
  <si>
    <t>BRG*</t>
  </si>
  <si>
    <t>*BRG rider and accessories mass is higher</t>
  </si>
</sst>
</file>

<file path=xl/styles.xml><?xml version="1.0" encoding="utf-8"?>
<styleSheet xmlns="http://schemas.openxmlformats.org/spreadsheetml/2006/main">
  <numFmts count="35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&quot;£&quot;\-#,##0"/>
    <numFmt numFmtId="165" formatCode="&quot;£&quot;#,##0;[Red]&quot;£&quot;\-#,##0"/>
    <numFmt numFmtId="166" formatCode="&quot;£&quot;#,##0.00;&quot;£&quot;\-#,##0.00"/>
    <numFmt numFmtId="167" formatCode="&quot;£&quot;#,##0.00;[Red]&quot;£&quot;\-#,##0.00"/>
    <numFmt numFmtId="168" formatCode="_ &quot;£&quot;* #,##0_ ;_ &quot;£&quot;* \-#,##0_ ;_ &quot;£&quot;* &quot;-&quot;_ ;_ @_ "/>
    <numFmt numFmtId="169" formatCode="_ * #,##0_ ;_ * \-#,##0_ ;_ * &quot;-&quot;_ ;_ @_ "/>
    <numFmt numFmtId="170" formatCode="_ &quot;£&quot;* #,##0.00_ ;_ &quot;£&quot;* \-#,##0.00_ ;_ &quot;£&quot;* &quot;-&quot;??_ ;_ @_ "/>
    <numFmt numFmtId="171" formatCode="_ * #,##0.00_ ;_ * \-#,##0.00_ ;_ * &quot;-&quot;??_ ;_ @_ "/>
    <numFmt numFmtId="172" formatCode="0.000"/>
    <numFmt numFmtId="173" formatCode="0.0000"/>
    <numFmt numFmtId="174" formatCode="0.0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0.0000000"/>
    <numFmt numFmtId="184" formatCode="0.000000"/>
    <numFmt numFmtId="185" formatCode="0.00000"/>
    <numFmt numFmtId="186" formatCode="0.00000000"/>
    <numFmt numFmtId="187" formatCode="0.000000000"/>
    <numFmt numFmtId="188" formatCode="0.0000000000"/>
    <numFmt numFmtId="189" formatCode="0.0%"/>
    <numFmt numFmtId="190" formatCode="#\ ???/???"/>
  </numFmts>
  <fonts count="27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sz val="10"/>
      <color indexed="10"/>
      <name val="Arial"/>
      <family val="2"/>
    </font>
    <font>
      <b/>
      <sz val="10"/>
      <name val="Tahoma"/>
      <family val="2"/>
    </font>
    <font>
      <b/>
      <sz val="11.75"/>
      <name val="Arial"/>
      <family val="0"/>
    </font>
    <font>
      <b/>
      <sz val="10.5"/>
      <name val="Arial"/>
      <family val="2"/>
    </font>
    <font>
      <sz val="9"/>
      <name val="Arial"/>
      <family val="0"/>
    </font>
    <font>
      <sz val="11"/>
      <name val="Arial"/>
      <family val="2"/>
    </font>
    <font>
      <b/>
      <sz val="12"/>
      <name val="Arial"/>
      <family val="0"/>
    </font>
    <font>
      <sz val="8.75"/>
      <name val="Arial"/>
      <family val="0"/>
    </font>
    <font>
      <sz val="11.25"/>
      <name val="Arial"/>
      <family val="2"/>
    </font>
    <font>
      <sz val="9.5"/>
      <name val="Arial"/>
      <family val="2"/>
    </font>
    <font>
      <sz val="8"/>
      <name val="Arial"/>
      <family val="0"/>
    </font>
    <font>
      <sz val="10.5"/>
      <name val="Arial"/>
      <family val="0"/>
    </font>
    <font>
      <b/>
      <sz val="8.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0"/>
    </font>
    <font>
      <b/>
      <sz val="8.75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1.25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b/>
      <sz val="11.5"/>
      <name val="Arial"/>
      <family val="0"/>
    </font>
    <font>
      <b/>
      <sz val="9.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174" fontId="0" fillId="2" borderId="0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174" fontId="0" fillId="2" borderId="7" xfId="0" applyNumberForma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Fill="1" applyBorder="1" applyAlignment="1">
      <alignment/>
    </xf>
    <xf numFmtId="174" fontId="0" fillId="0" borderId="0" xfId="0" applyNumberFormat="1" applyFont="1" applyFill="1" applyAlignment="1">
      <alignment/>
    </xf>
    <xf numFmtId="174" fontId="0" fillId="0" borderId="0" xfId="0" applyNumberFormat="1" applyFont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74" fontId="0" fillId="0" borderId="5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85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right"/>
    </xf>
    <xf numFmtId="174" fontId="0" fillId="0" borderId="0" xfId="0" applyNumberFormat="1" applyBorder="1" applyAlignment="1">
      <alignment/>
    </xf>
    <xf numFmtId="0" fontId="1" fillId="0" borderId="2" xfId="0" applyFont="1" applyFill="1" applyBorder="1" applyAlignment="1">
      <alignment horizontal="left"/>
    </xf>
    <xf numFmtId="0" fontId="0" fillId="2" borderId="5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7" xfId="0" applyFill="1" applyBorder="1" applyAlignment="1">
      <alignment/>
    </xf>
    <xf numFmtId="174" fontId="0" fillId="0" borderId="9" xfId="0" applyNumberFormat="1" applyBorder="1" applyAlignment="1">
      <alignment/>
    </xf>
    <xf numFmtId="174" fontId="0" fillId="0" borderId="10" xfId="0" applyNumberFormat="1" applyFill="1" applyBorder="1" applyAlignment="1">
      <alignment/>
    </xf>
    <xf numFmtId="174" fontId="0" fillId="0" borderId="11" xfId="0" applyNumberForma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72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Font="1" applyFill="1" applyBorder="1" applyAlignment="1">
      <alignment/>
    </xf>
    <xf numFmtId="1" fontId="0" fillId="0" borderId="9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74" fontId="0" fillId="0" borderId="15" xfId="0" applyNumberFormat="1" applyFill="1" applyBorder="1" applyAlignment="1">
      <alignment/>
    </xf>
    <xf numFmtId="174" fontId="0" fillId="0" borderId="0" xfId="0" applyNumberFormat="1" applyFill="1" applyBorder="1" applyAlignment="1">
      <alignment/>
    </xf>
    <xf numFmtId="174" fontId="0" fillId="0" borderId="16" xfId="0" applyNumberFormat="1" applyFill="1" applyBorder="1" applyAlignment="1">
      <alignment/>
    </xf>
    <xf numFmtId="174" fontId="0" fillId="0" borderId="9" xfId="0" applyNumberFormat="1" applyFill="1" applyBorder="1" applyAlignment="1">
      <alignment/>
    </xf>
    <xf numFmtId="0" fontId="0" fillId="0" borderId="15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0" fontId="0" fillId="3" borderId="15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3" borderId="10" xfId="0" applyFill="1" applyBorder="1" applyAlignment="1">
      <alignment/>
    </xf>
    <xf numFmtId="1" fontId="0" fillId="0" borderId="16" xfId="0" applyNumberFormat="1" applyFill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3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74" fontId="0" fillId="3" borderId="0" xfId="0" applyNumberForma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/>
    </xf>
    <xf numFmtId="17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" fontId="0" fillId="4" borderId="15" xfId="0" applyNumberFormat="1" applyFont="1" applyFill="1" applyBorder="1" applyAlignment="1">
      <alignment/>
    </xf>
    <xf numFmtId="174" fontId="0" fillId="4" borderId="0" xfId="0" applyNumberFormat="1" applyFont="1" applyFill="1" applyBorder="1" applyAlignment="1">
      <alignment/>
    </xf>
    <xf numFmtId="1" fontId="0" fillId="4" borderId="0" xfId="0" applyNumberFormat="1" applyFont="1" applyFill="1" applyBorder="1" applyAlignment="1">
      <alignment/>
    </xf>
    <xf numFmtId="2" fontId="0" fillId="4" borderId="0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174" fontId="0" fillId="0" borderId="9" xfId="0" applyNumberFormat="1" applyFont="1" applyFill="1" applyBorder="1" applyAlignment="1">
      <alignment/>
    </xf>
    <xf numFmtId="2" fontId="0" fillId="0" borderId="9" xfId="0" applyNumberFormat="1" applyFont="1" applyFill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6" xfId="0" applyFont="1" applyFill="1" applyBorder="1" applyAlignment="1">
      <alignment/>
    </xf>
    <xf numFmtId="1" fontId="3" fillId="0" borderId="9" xfId="0" applyNumberFormat="1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174" fontId="0" fillId="0" borderId="15" xfId="0" applyNumberFormat="1" applyFont="1" applyBorder="1" applyAlignment="1">
      <alignment/>
    </xf>
    <xf numFmtId="174" fontId="0" fillId="0" borderId="10" xfId="0" applyNumberFormat="1" applyFont="1" applyBorder="1" applyAlignment="1">
      <alignment/>
    </xf>
    <xf numFmtId="174" fontId="0" fillId="0" borderId="16" xfId="0" applyNumberFormat="1" applyFont="1" applyBorder="1" applyAlignment="1">
      <alignment/>
    </xf>
    <xf numFmtId="174" fontId="0" fillId="0" borderId="11" xfId="0" applyNumberFormat="1" applyFont="1" applyBorder="1" applyAlignment="1">
      <alignment/>
    </xf>
    <xf numFmtId="0" fontId="0" fillId="0" borderId="2" xfId="0" applyFill="1" applyBorder="1" applyAlignment="1">
      <alignment/>
    </xf>
    <xf numFmtId="0" fontId="0" fillId="2" borderId="0" xfId="0" applyFill="1" applyBorder="1" applyAlignment="1">
      <alignment/>
    </xf>
    <xf numFmtId="189" fontId="0" fillId="0" borderId="0" xfId="59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" fontId="0" fillId="2" borderId="7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10" fontId="0" fillId="2" borderId="0" xfId="59" applyNumberFormat="1" applyFill="1" applyBorder="1" applyAlignment="1">
      <alignment/>
    </xf>
    <xf numFmtId="49" fontId="0" fillId="0" borderId="0" xfId="59" applyNumberFormat="1" applyFont="1" applyFill="1" applyBorder="1" applyAlignment="1">
      <alignment horizontal="right"/>
    </xf>
    <xf numFmtId="0" fontId="0" fillId="2" borderId="7" xfId="0" applyFill="1" applyBorder="1" applyAlignment="1">
      <alignment/>
    </xf>
    <xf numFmtId="0" fontId="0" fillId="0" borderId="7" xfId="0" applyFill="1" applyBorder="1" applyAlignment="1">
      <alignment/>
    </xf>
    <xf numFmtId="1" fontId="0" fillId="0" borderId="7" xfId="0" applyNumberFormat="1" applyFill="1" applyBorder="1" applyAlignment="1">
      <alignment/>
    </xf>
    <xf numFmtId="0" fontId="0" fillId="0" borderId="12" xfId="0" applyFill="1" applyBorder="1" applyAlignment="1">
      <alignment/>
    </xf>
    <xf numFmtId="2" fontId="0" fillId="5" borderId="0" xfId="0" applyNumberFormat="1" applyFill="1" applyBorder="1" applyAlignment="1">
      <alignment/>
    </xf>
    <xf numFmtId="2" fontId="0" fillId="6" borderId="10" xfId="0" applyNumberFormat="1" applyFill="1" applyBorder="1" applyAlignment="1">
      <alignment/>
    </xf>
    <xf numFmtId="2" fontId="0" fillId="5" borderId="0" xfId="0" applyNumberFormat="1" applyFont="1" applyFill="1" applyBorder="1" applyAlignment="1">
      <alignment/>
    </xf>
    <xf numFmtId="1" fontId="0" fillId="5" borderId="0" xfId="0" applyNumberFormat="1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0" fillId="0" borderId="13" xfId="0" applyBorder="1" applyAlignment="1">
      <alignment/>
    </xf>
    <xf numFmtId="10" fontId="0" fillId="2" borderId="0" xfId="59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74" fontId="0" fillId="3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/>
    </xf>
    <xf numFmtId="1" fontId="0" fillId="4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16" fontId="0" fillId="0" borderId="10" xfId="0" applyNumberForma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4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89" fontId="0" fillId="0" borderId="9" xfId="59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2" fontId="1" fillId="6" borderId="1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0" fontId="1" fillId="0" borderId="0" xfId="0" applyFont="1" applyAlignment="1">
      <alignment/>
    </xf>
    <xf numFmtId="189" fontId="20" fillId="0" borderId="0" xfId="59" applyNumberFormat="1" applyFont="1" applyAlignment="1">
      <alignment/>
    </xf>
    <xf numFmtId="2" fontId="0" fillId="0" borderId="0" xfId="0" applyNumberFormat="1" applyAlignment="1">
      <alignment/>
    </xf>
    <xf numFmtId="189" fontId="21" fillId="0" borderId="0" xfId="59" applyNumberFormat="1" applyFont="1" applyAlignment="1">
      <alignment/>
    </xf>
  </cellXfs>
  <cellStyles count="46">
    <cellStyle name="Normal" xfId="0"/>
    <cellStyle name="Comma" xfId="15"/>
    <cellStyle name="Comma [0]" xfId="16"/>
    <cellStyle name="Comma [0]_1997_CBR600F-Clay" xfId="17"/>
    <cellStyle name="Comma [0]_CBR600F" xfId="18"/>
    <cellStyle name="Comma [0]_CBR600F-Quill" xfId="19"/>
    <cellStyle name="Comma [0]_Combined ST.xls Chart 1-1" xfId="20"/>
    <cellStyle name="Comma [0]_Combined ST.xls Chart 2-1" xfId="21"/>
    <cellStyle name="Comma [0]_Dynamics" xfId="22"/>
    <cellStyle name="Comma [0]_T300.XLS Chart 1" xfId="23"/>
    <cellStyle name="Comma [0]_T300.XLS Chart 2" xfId="24"/>
    <cellStyle name="Comma [0]_T300.XLS Chart 3" xfId="25"/>
    <cellStyle name="Comma_1997_CBR600F-Clay" xfId="26"/>
    <cellStyle name="Comma_CBR600F" xfId="27"/>
    <cellStyle name="Comma_CBR600F-Quill" xfId="28"/>
    <cellStyle name="Comma_Combined ST.xls Chart 1-1" xfId="29"/>
    <cellStyle name="Comma_Combined ST.xls Chart 2-1" xfId="30"/>
    <cellStyle name="Comma_Dynamics" xfId="31"/>
    <cellStyle name="Comma_T300.XLS Chart 1" xfId="32"/>
    <cellStyle name="Comma_T300.XLS Chart 2" xfId="33"/>
    <cellStyle name="Comma_T300.XLS Chart 3" xfId="34"/>
    <cellStyle name="Currency" xfId="35"/>
    <cellStyle name="Currency [0]" xfId="36"/>
    <cellStyle name="Currency [0]_1997_CBR600F-Clay" xfId="37"/>
    <cellStyle name="Currency [0]_CBR600F" xfId="38"/>
    <cellStyle name="Currency [0]_CBR600F-Quill" xfId="39"/>
    <cellStyle name="Currency [0]_Combined ST.xls Chart 1-1" xfId="40"/>
    <cellStyle name="Currency [0]_Combined ST.xls Chart 2-1" xfId="41"/>
    <cellStyle name="Currency [0]_Dynamics" xfId="42"/>
    <cellStyle name="Currency [0]_T300.XLS Chart 1" xfId="43"/>
    <cellStyle name="Currency [0]_T300.XLS Chart 2" xfId="44"/>
    <cellStyle name="Currency [0]_T300.XLS Chart 3" xfId="45"/>
    <cellStyle name="Currency_1997_CBR600F-Clay" xfId="46"/>
    <cellStyle name="Currency_CBR600F" xfId="47"/>
    <cellStyle name="Currency_CBR600F-Quill" xfId="48"/>
    <cellStyle name="Currency_Combined ST.xls Chart 1-1" xfId="49"/>
    <cellStyle name="Currency_Combined ST.xls Chart 2-1" xfId="50"/>
    <cellStyle name="Currency_Dynamics" xfId="51"/>
    <cellStyle name="Currency_T300.XLS Chart 1" xfId="52"/>
    <cellStyle name="Currency_T300.XLS Chart 2" xfId="53"/>
    <cellStyle name="Currency_T300.XLS Chart 3" xfId="54"/>
    <cellStyle name="Normal_Dynamics" xfId="55"/>
    <cellStyle name="Normal_T300.XLS Chart 1" xfId="56"/>
    <cellStyle name="Normal_T300.XLS Chart 2" xfId="57"/>
    <cellStyle name="Normal_T300.XLS Chart 3" xfId="58"/>
    <cellStyle name="Percent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1) Power (crank) &amp; Torque (crank)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ST'!$A$62:$A$69</c:f>
              <c:numCache/>
            </c:numRef>
          </c:xVal>
          <c:yVal>
            <c:numRef>
              <c:f>'1999 Triumph Sprint ST'!$B$62:$B$69</c:f>
              <c:numCache/>
            </c:numRef>
          </c:yVal>
          <c:smooth val="1"/>
        </c:ser>
        <c:ser>
          <c:idx val="1"/>
          <c:order val="1"/>
          <c:tx>
            <c:v>T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ST'!$A$62:$A$69</c:f>
              <c:numCache/>
            </c:numRef>
          </c:xVal>
          <c:yVal>
            <c:numRef>
              <c:f>'1999 Triumph Sprint ST'!$C$62:$C$69</c:f>
              <c:numCache/>
            </c:numRef>
          </c:yVal>
          <c:smooth val="1"/>
        </c:ser>
        <c:axId val="37329781"/>
        <c:axId val="423710"/>
      </c:scatterChart>
      <c:valAx>
        <c:axId val="37329781"/>
        <c:scaling>
          <c:orientation val="minMax"/>
          <c:max val="1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rpm *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23710"/>
        <c:crosses val="autoZero"/>
        <c:crossBetween val="midCat"/>
        <c:dispUnits/>
        <c:majorUnit val="1"/>
      </c:valAx>
      <c:valAx>
        <c:axId val="42371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Power (kW) or 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7329781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6) Acceleration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1"/>
          <c:order val="0"/>
          <c:tx>
            <c:v>Theoretical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 - BRG'!$I$112:$I$132</c:f>
              <c:numCache/>
            </c:numRef>
          </c:xVal>
          <c:yVal>
            <c:numRef>
              <c:f>'1999 Triumph Sprint ST - BRG'!$A$112:$A$132</c:f>
              <c:numCache/>
            </c:numRef>
          </c:yVal>
          <c:smooth val="1"/>
        </c:ser>
        <c:axId val="16490847"/>
        <c:axId val="14199896"/>
      </c:scatterChart>
      <c:valAx>
        <c:axId val="16490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4199896"/>
        <c:crosses val="autoZero"/>
        <c:crossBetween val="midCat"/>
        <c:dispUnits/>
      </c:valAx>
      <c:valAx>
        <c:axId val="14199896"/>
        <c:scaling>
          <c:orientation val="minMax"/>
          <c:max val="2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6490847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5) Net Tractive Effort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TE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7"/>
            <c:spPr>
              <a:ln w="25400">
                <a:solidFill>
                  <a:srgbClr val="00FF00"/>
                </a:solidFill>
              </a:ln>
            </c:spPr>
            <c:marker>
              <c:symbol val="none"/>
            </c:marker>
          </c:dPt>
          <c:xVal>
            <c:numRef>
              <c:f>'1999 Triumph Sprint ST - BRG'!$A$112:$A$138</c:f>
              <c:numCache/>
            </c:numRef>
          </c:xVal>
          <c:yVal>
            <c:numRef>
              <c:f>'1999 Triumph Sprint ST - BRG'!$F$112:$F$138</c:f>
              <c:numCache/>
            </c:numRef>
          </c:yVal>
          <c:smooth val="1"/>
        </c:ser>
        <c:axId val="60690201"/>
        <c:axId val="9340898"/>
      </c:scatterChart>
      <c:valAx>
        <c:axId val="60690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9340898"/>
        <c:crosses val="autoZero"/>
        <c:crossBetween val="midCat"/>
        <c:dispUnits/>
      </c:valAx>
      <c:valAx>
        <c:axId val="934089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 [N]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06902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2) Power (crank) Cadence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#1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66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'1999 Triumph Sprint ST - BRG'!$D$62:$D$69</c:f>
              <c:numCache/>
            </c:numRef>
          </c:xVal>
          <c:yVal>
            <c:numRef>
              <c:f>'1999 Triumph Sprint ST - BRG'!$B$62:$B$69</c:f>
              <c:numCache/>
            </c:numRef>
          </c:yVal>
          <c:smooth val="1"/>
        </c:ser>
        <c:ser>
          <c:idx val="1"/>
          <c:order val="1"/>
          <c:tx>
            <c:v>#2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'1999 Triumph Sprint ST - BRG'!$E$62:$E$69</c:f>
              <c:numCache/>
            </c:numRef>
          </c:xVal>
          <c:yVal>
            <c:numRef>
              <c:f>'1999 Triumph Sprint ST - BRG'!$B$62:$B$69</c:f>
              <c:numCache/>
            </c:numRef>
          </c:yVal>
          <c:smooth val="1"/>
        </c:ser>
        <c:ser>
          <c:idx val="2"/>
          <c:order val="2"/>
          <c:tx>
            <c:v>#3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'1999 Triumph Sprint ST - BRG'!$F$62:$F$69</c:f>
              <c:numCache/>
            </c:numRef>
          </c:xVal>
          <c:yVal>
            <c:numRef>
              <c:f>'1999 Triumph Sprint ST - BRG'!$B$62:$B$69</c:f>
              <c:numCache/>
            </c:numRef>
          </c:yVal>
          <c:smooth val="1"/>
        </c:ser>
        <c:ser>
          <c:idx val="3"/>
          <c:order val="3"/>
          <c:tx>
            <c:v>#4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'1999 Triumph Sprint ST - BRG'!$G$62:$G$69</c:f>
              <c:numCache/>
            </c:numRef>
          </c:xVal>
          <c:yVal>
            <c:numRef>
              <c:f>'1999 Triumph Sprint ST - BRG'!$B$62:$B$69</c:f>
              <c:numCache/>
            </c:numRef>
          </c:yVal>
          <c:smooth val="1"/>
        </c:ser>
        <c:ser>
          <c:idx val="7"/>
          <c:order val="4"/>
          <c:tx>
            <c:v>#5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'1999 Triumph Sprint ST - BRG'!$H$62:$H$69</c:f>
              <c:numCache/>
            </c:numRef>
          </c:xVal>
          <c:yVal>
            <c:numRef>
              <c:f>'1999 Triumph Sprint ST - BRG'!$B$62:$B$69</c:f>
              <c:numCache/>
            </c:numRef>
          </c:yVal>
          <c:smooth val="1"/>
        </c:ser>
        <c:ser>
          <c:idx val="4"/>
          <c:order val="5"/>
          <c:tx>
            <c:v>#6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'1999 Triumph Sprint ST - BRG'!$I$62:$I$69</c:f>
              <c:numCache/>
            </c:numRef>
          </c:xVal>
          <c:yVal>
            <c:numRef>
              <c:f>'1999 Triumph Sprint ST - BRG'!$B$62:$B$69</c:f>
              <c:numCache/>
            </c:numRef>
          </c:yVal>
          <c:smooth val="1"/>
        </c:ser>
        <c:ser>
          <c:idx val="5"/>
          <c:order val="6"/>
          <c:tx>
            <c:v>Vmax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 - BRG'!$B$107:$B$108</c:f>
              <c:numCache/>
            </c:numRef>
          </c:xVal>
          <c:yVal>
            <c:numRef>
              <c:f>'1999 Triumph Sprint ST - BRG'!$C$107:$C$108</c:f>
              <c:numCache/>
            </c:numRef>
          </c:yVal>
          <c:smooth val="1"/>
        </c:ser>
        <c:ser>
          <c:idx val="6"/>
          <c:order val="7"/>
          <c:tx>
            <c:v>Tmax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 - BRG'!$A$91:$A$103</c:f>
              <c:numCache/>
            </c:numRef>
          </c:xVal>
          <c:yVal>
            <c:numRef>
              <c:f>'1999 Triumph Sprint ST - BRG'!$K$91:$K$103</c:f>
              <c:numCache/>
            </c:numRef>
          </c:yVal>
          <c:smooth val="1"/>
        </c:ser>
        <c:axId val="16959219"/>
        <c:axId val="18415244"/>
      </c:scatterChart>
      <c:valAx>
        <c:axId val="16959219"/>
        <c:scaling>
          <c:orientation val="minMax"/>
          <c:max val="3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V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8415244"/>
        <c:crosses val="autoZero"/>
        <c:crossBetween val="midCat"/>
        <c:dispUnits/>
        <c:majorUnit val="50"/>
      </c:valAx>
      <c:valAx>
        <c:axId val="18415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Crank power [kW]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69592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Power &amp; Torque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P Bike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ST'!$A$62:$A$69</c:f>
              <c:numCache>
                <c:ptCount val="8"/>
                <c:pt idx="0">
                  <c:v>3.5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9.6</c:v>
                </c:pt>
              </c:numCache>
            </c:numRef>
          </c:xVal>
          <c:yVal>
            <c:numRef>
              <c:f>'1999 Triumph Sprint ST'!$B$62:$B$69</c:f>
              <c:numCache>
                <c:ptCount val="8"/>
                <c:pt idx="0">
                  <c:v>28.170629370629367</c:v>
                </c:pt>
                <c:pt idx="1">
                  <c:v>31.82237762237762</c:v>
                </c:pt>
                <c:pt idx="2">
                  <c:v>50.08111888111888</c:v>
                </c:pt>
                <c:pt idx="3">
                  <c:v>56.86293706293706</c:v>
                </c:pt>
                <c:pt idx="4">
                  <c:v>62.60139860139861</c:v>
                </c:pt>
                <c:pt idx="5">
                  <c:v>72.51328671328672</c:v>
                </c:pt>
                <c:pt idx="6">
                  <c:v>81.38181818181818</c:v>
                </c:pt>
                <c:pt idx="7">
                  <c:v>78.77342657342658</c:v>
                </c:pt>
              </c:numCache>
            </c:numRef>
          </c:yVal>
          <c:smooth val="1"/>
        </c:ser>
        <c:ser>
          <c:idx val="1"/>
          <c:order val="1"/>
          <c:tx>
            <c:v>T Bike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ST'!$A$62:$A$69</c:f>
              <c:numCache>
                <c:ptCount val="8"/>
                <c:pt idx="0">
                  <c:v>3.5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9.6</c:v>
                </c:pt>
              </c:numCache>
            </c:numRef>
          </c:xVal>
          <c:yVal>
            <c:numRef>
              <c:f>'1999 Triumph Sprint ST'!$C$62:$C$69</c:f>
              <c:numCache>
                <c:ptCount val="8"/>
                <c:pt idx="0">
                  <c:v>76.85991281734958</c:v>
                </c:pt>
                <c:pt idx="1">
                  <c:v>75.9703304930747</c:v>
                </c:pt>
                <c:pt idx="2">
                  <c:v>95.64789150603505</c:v>
                </c:pt>
                <c:pt idx="3">
                  <c:v>90.50017512289773</c:v>
                </c:pt>
                <c:pt idx="4">
                  <c:v>85.39990313038844</c:v>
                </c:pt>
                <c:pt idx="5">
                  <c:v>86.55636015194577</c:v>
                </c:pt>
                <c:pt idx="6">
                  <c:v>86.3487909429483</c:v>
                </c:pt>
                <c:pt idx="7">
                  <c:v>78.35737639654565</c:v>
                </c:pt>
              </c:numCache>
            </c:numRef>
          </c:yVal>
          <c:smooth val="1"/>
        </c:ser>
        <c:ser>
          <c:idx val="2"/>
          <c:order val="2"/>
          <c:tx>
            <c:v>P BRG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 - BRG'!$A$62:$A$69</c:f>
              <c:numCache>
                <c:ptCount val="8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9.6</c:v>
                </c:pt>
              </c:numCache>
            </c:numRef>
          </c:xVal>
          <c:yVal>
            <c:numRef>
              <c:f>'1999 Triumph Sprint ST - BRG'!$B$62:$B$69</c:f>
              <c:numCache>
                <c:ptCount val="8"/>
                <c:pt idx="0">
                  <c:v>27.229</c:v>
                </c:pt>
                <c:pt idx="1">
                  <c:v>39.911</c:v>
                </c:pt>
                <c:pt idx="2">
                  <c:v>53.712</c:v>
                </c:pt>
                <c:pt idx="3">
                  <c:v>61.918</c:v>
                </c:pt>
                <c:pt idx="4">
                  <c:v>67.513</c:v>
                </c:pt>
                <c:pt idx="5">
                  <c:v>77.211</c:v>
                </c:pt>
                <c:pt idx="6">
                  <c:v>83.25359999999999</c:v>
                </c:pt>
                <c:pt idx="7">
                  <c:v>82.06</c:v>
                </c:pt>
              </c:numCache>
            </c:numRef>
          </c:yVal>
          <c:smooth val="1"/>
        </c:ser>
        <c:ser>
          <c:idx val="3"/>
          <c:order val="3"/>
          <c:tx>
            <c:v>T BRG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 - BRG'!$A$62:$A$69</c:f>
              <c:numCache>
                <c:ptCount val="8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9.6</c:v>
                </c:pt>
              </c:numCache>
            </c:numRef>
          </c:xVal>
          <c:yVal>
            <c:numRef>
              <c:f>'1999 Triumph Sprint ST - BRG'!$C$62:$C$69</c:f>
              <c:numCache>
                <c:ptCount val="8"/>
                <c:pt idx="0">
                  <c:v>86.67259890898437</c:v>
                </c:pt>
                <c:pt idx="1">
                  <c:v>95.28049400610952</c:v>
                </c:pt>
                <c:pt idx="2">
                  <c:v>102.5823636402226</c:v>
                </c:pt>
                <c:pt idx="3">
                  <c:v>98.54555766363974</c:v>
                </c:pt>
                <c:pt idx="4">
                  <c:v>92.10023719682684</c:v>
                </c:pt>
                <c:pt idx="5">
                  <c:v>92.16384233301247</c:v>
                </c:pt>
                <c:pt idx="6">
                  <c:v>88.33481313463611</c:v>
                </c:pt>
                <c:pt idx="7">
                  <c:v>81.62659143825582</c:v>
                </c:pt>
              </c:numCache>
            </c:numRef>
          </c:yVal>
          <c:smooth val="1"/>
        </c:ser>
        <c:axId val="31519469"/>
        <c:axId val="15239766"/>
      </c:scatterChart>
      <c:valAx>
        <c:axId val="31519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rpm *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5239766"/>
        <c:crosses val="autoZero"/>
        <c:crossBetween val="midCat"/>
        <c:dispUnits/>
        <c:minorUnit val="1"/>
      </c:valAx>
      <c:valAx>
        <c:axId val="15239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Power [kW] or Torque [N 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5194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Acceleration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Bike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ST'!$I$112:$I$134</c:f>
              <c:numCache>
                <c:ptCount val="23"/>
                <c:pt idx="0">
                  <c:v>0</c:v>
                </c:pt>
                <c:pt idx="1">
                  <c:v>1.064610538131033</c:v>
                </c:pt>
                <c:pt idx="2">
                  <c:v>1.217016269630581</c:v>
                </c:pt>
                <c:pt idx="3">
                  <c:v>1.5233675303548109</c:v>
                </c:pt>
                <c:pt idx="4">
                  <c:v>1.8495329777649911</c:v>
                </c:pt>
                <c:pt idx="5">
                  <c:v>2.1984990548708483</c:v>
                </c:pt>
                <c:pt idx="6">
                  <c:v>2.5459449377749284</c:v>
                </c:pt>
                <c:pt idx="7">
                  <c:v>2.898080474466041</c:v>
                </c:pt>
                <c:pt idx="8">
                  <c:v>3.1340395230747924</c:v>
                </c:pt>
                <c:pt idx="9">
                  <c:v>3.3840395230747924</c:v>
                </c:pt>
                <c:pt idx="10">
                  <c:v>3.5008152288508434</c:v>
                </c:pt>
                <c:pt idx="11">
                  <c:v>4.238362927811636</c:v>
                </c:pt>
                <c:pt idx="12">
                  <c:v>5.002608428874131</c:v>
                </c:pt>
                <c:pt idx="13">
                  <c:v>5.5291991905805435</c:v>
                </c:pt>
                <c:pt idx="14">
                  <c:v>5.7791991905805435</c:v>
                </c:pt>
                <c:pt idx="15">
                  <c:v>6.287493873173727</c:v>
                </c:pt>
                <c:pt idx="16">
                  <c:v>7.730862128676544</c:v>
                </c:pt>
                <c:pt idx="17">
                  <c:v>8.786737131561354</c:v>
                </c:pt>
                <c:pt idx="18">
                  <c:v>9.036737131561354</c:v>
                </c:pt>
                <c:pt idx="19">
                  <c:v>11.80088587487041</c:v>
                </c:pt>
                <c:pt idx="20">
                  <c:v>14.21794741597869</c:v>
                </c:pt>
                <c:pt idx="21">
                  <c:v>14.46794741597869</c:v>
                </c:pt>
                <c:pt idx="22">
                  <c:v>16.81296223057171</c:v>
                </c:pt>
              </c:numCache>
            </c:numRef>
          </c:xVal>
          <c:yVal>
            <c:numRef>
              <c:f>'1999 Triumph Sprint ST'!$A$112:$A$134</c:f>
              <c:numCache>
                <c:ptCount val="23"/>
                <c:pt idx="0">
                  <c:v>0</c:v>
                </c:pt>
                <c:pt idx="1">
                  <c:v>35.92418270501102</c:v>
                </c:pt>
                <c:pt idx="2">
                  <c:v>41.056208805726875</c:v>
                </c:pt>
                <c:pt idx="3">
                  <c:v>51.3202610071586</c:v>
                </c:pt>
                <c:pt idx="4">
                  <c:v>61.58431320859031</c:v>
                </c:pt>
                <c:pt idx="5">
                  <c:v>71.84836541002204</c:v>
                </c:pt>
                <c:pt idx="6">
                  <c:v>82.11241761145375</c:v>
                </c:pt>
                <c:pt idx="7">
                  <c:v>92.37646981288546</c:v>
                </c:pt>
                <c:pt idx="8">
                  <c:v>98.5349011337445</c:v>
                </c:pt>
                <c:pt idx="9">
                  <c:v>98.5349011337445</c:v>
                </c:pt>
                <c:pt idx="10">
                  <c:v>100.84662460253543</c:v>
                </c:pt>
                <c:pt idx="11">
                  <c:v>115.25328526004049</c:v>
                </c:pt>
                <c:pt idx="12">
                  <c:v>129.65994591754554</c:v>
                </c:pt>
                <c:pt idx="13">
                  <c:v>138.30394231204858</c:v>
                </c:pt>
                <c:pt idx="14">
                  <c:v>138.30394231204858</c:v>
                </c:pt>
                <c:pt idx="15">
                  <c:v>145.22627585398294</c:v>
                </c:pt>
                <c:pt idx="16">
                  <c:v>163.3795603357308</c:v>
                </c:pt>
                <c:pt idx="17">
                  <c:v>174.2715310247795</c:v>
                </c:pt>
                <c:pt idx="18">
                  <c:v>174.2715310247795</c:v>
                </c:pt>
                <c:pt idx="19">
                  <c:v>195.48052966855766</c:v>
                </c:pt>
                <c:pt idx="20">
                  <c:v>208.51256497979483</c:v>
                </c:pt>
                <c:pt idx="21">
                  <c:v>208.51256497979483</c:v>
                </c:pt>
                <c:pt idx="22">
                  <c:v>218.82959293452424</c:v>
                </c:pt>
              </c:numCache>
            </c:numRef>
          </c:yVal>
          <c:smooth val="1"/>
        </c:ser>
        <c:ser>
          <c:idx val="1"/>
          <c:order val="1"/>
          <c:tx>
            <c:v>BRG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 - BRG'!$I$112:$I$134</c:f>
              <c:numCache>
                <c:ptCount val="23"/>
                <c:pt idx="0">
                  <c:v>0</c:v>
                </c:pt>
                <c:pt idx="1">
                  <c:v>0.9090270349580334</c:v>
                </c:pt>
                <c:pt idx="2">
                  <c:v>1.2131398596661294</c:v>
                </c:pt>
                <c:pt idx="3">
                  <c:v>1.5186837450501605</c:v>
                </c:pt>
                <c:pt idx="4">
                  <c:v>1.8388320377555054</c:v>
                </c:pt>
                <c:pt idx="5">
                  <c:v>2.184496002736488</c:v>
                </c:pt>
                <c:pt idx="6">
                  <c:v>2.533004497484323</c:v>
                </c:pt>
                <c:pt idx="7">
                  <c:v>2.901122655065898</c:v>
                </c:pt>
                <c:pt idx="8">
                  <c:v>3.142999531930289</c:v>
                </c:pt>
                <c:pt idx="9">
                  <c:v>3.392999531930289</c:v>
                </c:pt>
                <c:pt idx="10">
                  <c:v>3.508165543840711</c:v>
                </c:pt>
                <c:pt idx="11">
                  <c:v>4.244365404779548</c:v>
                </c:pt>
                <c:pt idx="12">
                  <c:v>5.041384268184639</c:v>
                </c:pt>
                <c:pt idx="13">
                  <c:v>5.578145798866127</c:v>
                </c:pt>
                <c:pt idx="14">
                  <c:v>5.828145798866127</c:v>
                </c:pt>
                <c:pt idx="15">
                  <c:v>6.33080440141996</c:v>
                </c:pt>
                <c:pt idx="16">
                  <c:v>7.828698098887626</c:v>
                </c:pt>
                <c:pt idx="17">
                  <c:v>8.89156120488676</c:v>
                </c:pt>
                <c:pt idx="18">
                  <c:v>9.14156120488676</c:v>
                </c:pt>
                <c:pt idx="19">
                  <c:v>11.977873498704266</c:v>
                </c:pt>
                <c:pt idx="20">
                  <c:v>14.326731396591548</c:v>
                </c:pt>
                <c:pt idx="21">
                  <c:v>14.576731396591548</c:v>
                </c:pt>
                <c:pt idx="22">
                  <c:v>16.928337515569318</c:v>
                </c:pt>
              </c:numCache>
            </c:numRef>
          </c:xVal>
          <c:yVal>
            <c:numRef>
              <c:f>'1999 Triumph Sprint ST - BRG'!$A$112:$A$134</c:f>
              <c:numCache>
                <c:ptCount val="23"/>
                <c:pt idx="0">
                  <c:v>0</c:v>
                </c:pt>
                <c:pt idx="1">
                  <c:v>30.792156604295155</c:v>
                </c:pt>
                <c:pt idx="2">
                  <c:v>41.056208805726875</c:v>
                </c:pt>
                <c:pt idx="3">
                  <c:v>51.3202610071586</c:v>
                </c:pt>
                <c:pt idx="4">
                  <c:v>61.58431320859031</c:v>
                </c:pt>
                <c:pt idx="5">
                  <c:v>71.84836541002204</c:v>
                </c:pt>
                <c:pt idx="6">
                  <c:v>82.11241761145375</c:v>
                </c:pt>
                <c:pt idx="7">
                  <c:v>92.37646981288546</c:v>
                </c:pt>
                <c:pt idx="8">
                  <c:v>98.5349011337445</c:v>
                </c:pt>
                <c:pt idx="9">
                  <c:v>98.5349011337445</c:v>
                </c:pt>
                <c:pt idx="10">
                  <c:v>100.84662460253543</c:v>
                </c:pt>
                <c:pt idx="11">
                  <c:v>115.25328526004049</c:v>
                </c:pt>
                <c:pt idx="12">
                  <c:v>129.65994591754554</c:v>
                </c:pt>
                <c:pt idx="13">
                  <c:v>138.30394231204858</c:v>
                </c:pt>
                <c:pt idx="14">
                  <c:v>138.30394231204858</c:v>
                </c:pt>
                <c:pt idx="15">
                  <c:v>145.22627585398294</c:v>
                </c:pt>
                <c:pt idx="16">
                  <c:v>163.3795603357308</c:v>
                </c:pt>
                <c:pt idx="17">
                  <c:v>174.2715310247795</c:v>
                </c:pt>
                <c:pt idx="18">
                  <c:v>174.2715310247795</c:v>
                </c:pt>
                <c:pt idx="19">
                  <c:v>195.48052966855766</c:v>
                </c:pt>
                <c:pt idx="20">
                  <c:v>208.51256497979483</c:v>
                </c:pt>
                <c:pt idx="21">
                  <c:v>208.51256497979483</c:v>
                </c:pt>
                <c:pt idx="22">
                  <c:v>218.82959293452424</c:v>
                </c:pt>
              </c:numCache>
            </c:numRef>
          </c:yVal>
          <c:smooth val="1"/>
        </c:ser>
        <c:axId val="2940167"/>
        <c:axId val="26461504"/>
      </c:scatterChart>
      <c:valAx>
        <c:axId val="2940167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26461504"/>
        <c:crosses val="autoZero"/>
        <c:crossBetween val="midCat"/>
        <c:dispUnits/>
      </c:valAx>
      <c:valAx>
        <c:axId val="264615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V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0167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4) Gear ratios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ST'!$A$51:$A$52</c:f>
              <c:numCache/>
            </c:numRef>
          </c:xVal>
          <c:yVal>
            <c:numRef>
              <c:f>'1999 Triumph Sprint ST'!$B$51:$B$52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ST'!$A$51:$A$52</c:f>
              <c:numCache/>
            </c:numRef>
          </c:xVal>
          <c:yVal>
            <c:numRef>
              <c:f>'1999 Triumph Sprint ST'!$C$51:$C$52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ST'!$A$51:$A$52</c:f>
              <c:numCache/>
            </c:numRef>
          </c:xVal>
          <c:yVal>
            <c:numRef>
              <c:f>'1999 Triumph Sprint ST'!$D$51:$D$52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ST'!$A$51:$A$52</c:f>
              <c:numCache/>
            </c:numRef>
          </c:xVal>
          <c:yVal>
            <c:numRef>
              <c:f>'1999 Triumph Sprint ST'!$E$51:$E$52</c:f>
              <c:numCache/>
            </c:numRef>
          </c:yVal>
          <c:smooth val="1"/>
        </c:ser>
        <c:ser>
          <c:idx val="4"/>
          <c:order val="4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ST'!$A$51:$A$52</c:f>
              <c:numCache/>
            </c:numRef>
          </c:xVal>
          <c:yVal>
            <c:numRef>
              <c:f>'1999 Triumph Sprint ST'!$F$51:$F$52</c:f>
              <c:numCache/>
            </c:numRef>
          </c:yVal>
          <c:smooth val="1"/>
        </c:ser>
        <c:ser>
          <c:idx val="5"/>
          <c:order val="5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ST'!$A$51:$A$52</c:f>
              <c:numCache/>
            </c:numRef>
          </c:xVal>
          <c:yVal>
            <c:numRef>
              <c:f>'1999 Triumph Sprint ST'!$G$51:$G$52</c:f>
              <c:numCache/>
            </c:numRef>
          </c:yVal>
          <c:smooth val="1"/>
        </c:ser>
        <c:axId val="3813391"/>
        <c:axId val="34320520"/>
      </c:scatterChart>
      <c:valAx>
        <c:axId val="3813391"/>
        <c:scaling>
          <c:orientation val="minMax"/>
          <c:max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rpm *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4320520"/>
        <c:crosses val="autoZero"/>
        <c:crossBetween val="midCat"/>
        <c:dispUnits/>
        <c:majorUnit val="1"/>
      </c:valAx>
      <c:valAx>
        <c:axId val="34320520"/>
        <c:scaling>
          <c:orientation val="minMax"/>
          <c:max val="2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V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813391"/>
        <c:crosses val="autoZero"/>
        <c:crossBetween val="midCat"/>
        <c:dispUnits/>
        <c:majorUnit val="2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3) Tractive Effort Cadence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#1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ST'!$B$76:$B$87</c:f>
              <c:numCache/>
            </c:numRef>
          </c:xVal>
          <c:yVal>
            <c:numRef>
              <c:f>'1999 Triumph Sprint ST'!$C$76:$C$87</c:f>
              <c:numCache/>
            </c:numRef>
          </c:yVal>
          <c:smooth val="1"/>
        </c:ser>
        <c:ser>
          <c:idx val="1"/>
          <c:order val="1"/>
          <c:tx>
            <c:v>#2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ST'!$D$76:$D$87</c:f>
              <c:numCache/>
            </c:numRef>
          </c:xVal>
          <c:yVal>
            <c:numRef>
              <c:f>'1999 Triumph Sprint ST'!$E$76:$E$87</c:f>
              <c:numCache/>
            </c:numRef>
          </c:yVal>
          <c:smooth val="1"/>
        </c:ser>
        <c:ser>
          <c:idx val="2"/>
          <c:order val="2"/>
          <c:tx>
            <c:v>#3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ST'!$F$76:$F$87</c:f>
              <c:numCache/>
            </c:numRef>
          </c:xVal>
          <c:yVal>
            <c:numRef>
              <c:f>'1999 Triumph Sprint ST'!$G$76:$G$87</c:f>
              <c:numCache/>
            </c:numRef>
          </c:yVal>
          <c:smooth val="1"/>
        </c:ser>
        <c:ser>
          <c:idx val="3"/>
          <c:order val="3"/>
          <c:tx>
            <c:v>#4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ST'!$H$76:$H$87</c:f>
              <c:numCache/>
            </c:numRef>
          </c:xVal>
          <c:yVal>
            <c:numRef>
              <c:f>'1999 Triumph Sprint ST'!$I$76:$I$87</c:f>
              <c:numCache/>
            </c:numRef>
          </c:yVal>
          <c:smooth val="1"/>
        </c:ser>
        <c:ser>
          <c:idx val="4"/>
          <c:order val="4"/>
          <c:tx>
            <c:v>#5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ST'!$J$75:$J$87</c:f>
              <c:numCache/>
            </c:numRef>
          </c:xVal>
          <c:yVal>
            <c:numRef>
              <c:f>'1999 Triumph Sprint ST'!$K$75:$K$87</c:f>
              <c:numCache/>
            </c:numRef>
          </c:yVal>
          <c:smooth val="1"/>
        </c:ser>
        <c:ser>
          <c:idx val="5"/>
          <c:order val="5"/>
          <c:tx>
            <c:v>#6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ST'!$L$76:$L$87</c:f>
              <c:numCache/>
            </c:numRef>
          </c:xVal>
          <c:yVal>
            <c:numRef>
              <c:f>'1999 Triumph Sprint ST'!$M$76:$M$87</c:f>
              <c:numCache/>
            </c:numRef>
          </c:yVal>
          <c:smooth val="1"/>
        </c:ser>
        <c:ser>
          <c:idx val="6"/>
          <c:order val="6"/>
          <c:tx>
            <c:v>R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ST'!$A$91:$A$103</c:f>
              <c:numCache/>
            </c:numRef>
          </c:xVal>
          <c:yVal>
            <c:numRef>
              <c:f>'1999 Triumph Sprint ST'!$D$91:$D$103</c:f>
              <c:numCache/>
            </c:numRef>
          </c:yVal>
          <c:smooth val="1"/>
        </c:ser>
        <c:ser>
          <c:idx val="7"/>
          <c:order val="7"/>
          <c:tx>
            <c:v>Vmax</c:v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ST'!$B$107:$B$108</c:f>
              <c:numCache/>
            </c:numRef>
          </c:xVal>
          <c:yVal>
            <c:numRef>
              <c:f>'1999 Triumph Sprint ST'!$A$107:$A$108</c:f>
              <c:numCache/>
            </c:numRef>
          </c:yVal>
          <c:smooth val="1"/>
        </c:ser>
        <c:ser>
          <c:idx val="8"/>
          <c:order val="8"/>
          <c:tx>
            <c:v>Pmax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ST'!$A$94:$A$103</c:f>
              <c:numCache/>
            </c:numRef>
          </c:xVal>
          <c:yVal>
            <c:numRef>
              <c:f>'1999 Triumph Sprint ST'!$F$94:$F$103</c:f>
              <c:numCache/>
            </c:numRef>
          </c:yVal>
          <c:smooth val="1"/>
        </c:ser>
        <c:axId val="40449225"/>
        <c:axId val="28498706"/>
      </c:scatterChart>
      <c:valAx>
        <c:axId val="4044922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V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498706"/>
        <c:crosses val="autoZero"/>
        <c:crossBetween val="midCat"/>
        <c:dispUnits/>
      </c:valAx>
      <c:valAx>
        <c:axId val="28498706"/>
        <c:scaling>
          <c:orientation val="minMax"/>
          <c:max val="3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TE [N]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449225"/>
        <c:crosses val="autoZero"/>
        <c:crossBetween val="midCat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6) Acceleration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1"/>
          <c:order val="0"/>
          <c:tx>
            <c:v>Theoretical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ST'!$I$112:$I$132</c:f>
              <c:numCache/>
            </c:numRef>
          </c:xVal>
          <c:yVal>
            <c:numRef>
              <c:f>'1999 Triumph Sprint ST'!$A$112:$A$132</c:f>
              <c:numCache/>
            </c:numRef>
          </c:yVal>
          <c:smooth val="1"/>
        </c:ser>
        <c:axId val="55161763"/>
        <c:axId val="26693820"/>
      </c:scatterChart>
      <c:valAx>
        <c:axId val="55161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6693820"/>
        <c:crosses val="autoZero"/>
        <c:crossBetween val="midCat"/>
        <c:dispUnits/>
      </c:valAx>
      <c:valAx>
        <c:axId val="26693820"/>
        <c:scaling>
          <c:orientation val="minMax"/>
          <c:max val="2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5161763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5) Net Tractive Effort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TE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7"/>
            <c:spPr>
              <a:ln w="25400">
                <a:solidFill>
                  <a:srgbClr val="00FF00"/>
                </a:solidFill>
              </a:ln>
            </c:spPr>
            <c:marker>
              <c:symbol val="none"/>
            </c:marker>
          </c:dPt>
          <c:xVal>
            <c:numRef>
              <c:f>'1999 Triumph Sprint ST'!$A$112:$A$138</c:f>
              <c:numCache/>
            </c:numRef>
          </c:xVal>
          <c:yVal>
            <c:numRef>
              <c:f>'1999 Triumph Sprint ST'!$F$112:$F$138</c:f>
              <c:numCache/>
            </c:numRef>
          </c:yVal>
          <c:smooth val="1"/>
        </c:ser>
        <c:axId val="38917789"/>
        <c:axId val="14715782"/>
      </c:scatterChart>
      <c:valAx>
        <c:axId val="38917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4715782"/>
        <c:crosses val="autoZero"/>
        <c:crossBetween val="midCat"/>
        <c:dispUnits/>
      </c:valAx>
      <c:valAx>
        <c:axId val="14715782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 [N]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89177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2) Power (crank) Cadence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#1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66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'1999 Triumph Sprint ST'!$D$62:$D$69</c:f>
              <c:numCache/>
            </c:numRef>
          </c:xVal>
          <c:yVal>
            <c:numRef>
              <c:f>'1999 Triumph Sprint ST'!$B$62:$B$69</c:f>
              <c:numCache/>
            </c:numRef>
          </c:yVal>
          <c:smooth val="1"/>
        </c:ser>
        <c:ser>
          <c:idx val="1"/>
          <c:order val="1"/>
          <c:tx>
            <c:v>#2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'1999 Triumph Sprint ST'!$E$62:$E$69</c:f>
              <c:numCache/>
            </c:numRef>
          </c:xVal>
          <c:yVal>
            <c:numRef>
              <c:f>'1999 Triumph Sprint ST'!$B$62:$B$69</c:f>
              <c:numCache/>
            </c:numRef>
          </c:yVal>
          <c:smooth val="1"/>
        </c:ser>
        <c:ser>
          <c:idx val="2"/>
          <c:order val="2"/>
          <c:tx>
            <c:v>#3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'1999 Triumph Sprint ST'!$F$62:$F$69</c:f>
              <c:numCache/>
            </c:numRef>
          </c:xVal>
          <c:yVal>
            <c:numRef>
              <c:f>'1999 Triumph Sprint ST'!$B$62:$B$69</c:f>
              <c:numCache/>
            </c:numRef>
          </c:yVal>
          <c:smooth val="1"/>
        </c:ser>
        <c:ser>
          <c:idx val="3"/>
          <c:order val="3"/>
          <c:tx>
            <c:v>#4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'1999 Triumph Sprint ST'!$G$62:$G$69</c:f>
              <c:numCache/>
            </c:numRef>
          </c:xVal>
          <c:yVal>
            <c:numRef>
              <c:f>'1999 Triumph Sprint ST'!$B$62:$B$69</c:f>
              <c:numCache/>
            </c:numRef>
          </c:yVal>
          <c:smooth val="1"/>
        </c:ser>
        <c:ser>
          <c:idx val="7"/>
          <c:order val="4"/>
          <c:tx>
            <c:v>#5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'1999 Triumph Sprint ST'!$H$62:$H$69</c:f>
              <c:numCache/>
            </c:numRef>
          </c:xVal>
          <c:yVal>
            <c:numRef>
              <c:f>'1999 Triumph Sprint ST'!$B$62:$B$69</c:f>
              <c:numCache/>
            </c:numRef>
          </c:yVal>
          <c:smooth val="1"/>
        </c:ser>
        <c:ser>
          <c:idx val="4"/>
          <c:order val="5"/>
          <c:tx>
            <c:v>#6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'1999 Triumph Sprint ST'!$I$62:$I$69</c:f>
              <c:numCache/>
            </c:numRef>
          </c:xVal>
          <c:yVal>
            <c:numRef>
              <c:f>'1999 Triumph Sprint ST'!$B$62:$B$70</c:f>
              <c:numCache/>
            </c:numRef>
          </c:yVal>
          <c:smooth val="1"/>
        </c:ser>
        <c:ser>
          <c:idx val="5"/>
          <c:order val="6"/>
          <c:tx>
            <c:v>Vmax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ST'!$B$107:$B$108</c:f>
              <c:numCache/>
            </c:numRef>
          </c:xVal>
          <c:yVal>
            <c:numRef>
              <c:f>'1999 Triumph Sprint ST'!$C$107:$C$108</c:f>
              <c:numCache/>
            </c:numRef>
          </c:yVal>
          <c:smooth val="1"/>
        </c:ser>
        <c:ser>
          <c:idx val="6"/>
          <c:order val="7"/>
          <c:tx>
            <c:v>Tmax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ST'!$A$91:$A$103</c:f>
              <c:numCache/>
            </c:numRef>
          </c:xVal>
          <c:yVal>
            <c:numRef>
              <c:f>'1999 Triumph Sprint ST'!$K$91:$K$103</c:f>
              <c:numCache/>
            </c:numRef>
          </c:yVal>
          <c:smooth val="1"/>
        </c:ser>
        <c:axId val="65333175"/>
        <c:axId val="51127664"/>
      </c:scatterChart>
      <c:valAx>
        <c:axId val="65333175"/>
        <c:scaling>
          <c:orientation val="minMax"/>
          <c:max val="3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V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127664"/>
        <c:crosses val="autoZero"/>
        <c:crossBetween val="midCat"/>
        <c:dispUnits/>
        <c:majorUnit val="50"/>
      </c:valAx>
      <c:valAx>
        <c:axId val="51127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Crank power [kW]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53331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1) Power (crank) &amp; Torque (crank)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 - BRG'!$A$62:$A$69</c:f>
              <c:numCache/>
            </c:numRef>
          </c:xVal>
          <c:yVal>
            <c:numRef>
              <c:f>'1999 Triumph Sprint ST - BRG'!$B$62:$B$69</c:f>
              <c:numCache/>
            </c:numRef>
          </c:yVal>
          <c:smooth val="1"/>
        </c:ser>
        <c:ser>
          <c:idx val="1"/>
          <c:order val="1"/>
          <c:tx>
            <c:v>T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 - BRG'!$A$62:$A$69</c:f>
              <c:numCache/>
            </c:numRef>
          </c:xVal>
          <c:yVal>
            <c:numRef>
              <c:f>'1999 Triumph Sprint ST - BRG'!$C$62:$C$69</c:f>
              <c:numCache/>
            </c:numRef>
          </c:yVal>
          <c:smooth val="1"/>
        </c:ser>
        <c:axId val="57495793"/>
        <c:axId val="47700090"/>
      </c:scatterChart>
      <c:valAx>
        <c:axId val="57495793"/>
        <c:scaling>
          <c:orientation val="minMax"/>
          <c:max val="1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rpm *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7700090"/>
        <c:crosses val="autoZero"/>
        <c:crossBetween val="midCat"/>
        <c:dispUnits/>
        <c:majorUnit val="1"/>
      </c:valAx>
      <c:valAx>
        <c:axId val="47700090"/>
        <c:scaling>
          <c:orientation val="minMax"/>
          <c:max val="1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Power (kW) or 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7495793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4) Gear ratios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 - BRG'!$A$51:$A$52</c:f>
              <c:numCache/>
            </c:numRef>
          </c:xVal>
          <c:yVal>
            <c:numRef>
              <c:f>'1999 Triumph Sprint ST - BRG'!$B$51:$B$52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 - BRG'!$A$51:$A$52</c:f>
              <c:numCache/>
            </c:numRef>
          </c:xVal>
          <c:yVal>
            <c:numRef>
              <c:f>'1999 Triumph Sprint ST - BRG'!$C$51:$C$52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 - BRG'!$A$51:$A$52</c:f>
              <c:numCache/>
            </c:numRef>
          </c:xVal>
          <c:yVal>
            <c:numRef>
              <c:f>'1999 Triumph Sprint ST - BRG'!$D$51:$D$52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 - BRG'!$A$51:$A$52</c:f>
              <c:numCache/>
            </c:numRef>
          </c:xVal>
          <c:yVal>
            <c:numRef>
              <c:f>'1999 Triumph Sprint ST - BRG'!$E$51:$E$52</c:f>
              <c:numCache/>
            </c:numRef>
          </c:yVal>
          <c:smooth val="1"/>
        </c:ser>
        <c:ser>
          <c:idx val="4"/>
          <c:order val="4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 - BRG'!$A$51:$A$52</c:f>
              <c:numCache/>
            </c:numRef>
          </c:xVal>
          <c:yVal>
            <c:numRef>
              <c:f>'1999 Triumph Sprint ST - BRG'!$F$51:$F$52</c:f>
              <c:numCache/>
            </c:numRef>
          </c:yVal>
          <c:smooth val="1"/>
        </c:ser>
        <c:ser>
          <c:idx val="5"/>
          <c:order val="5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 - BRG'!$A$51:$A$52</c:f>
              <c:numCache/>
            </c:numRef>
          </c:xVal>
          <c:yVal>
            <c:numRef>
              <c:f>'1999 Triumph Sprint ST - BRG'!$G$51:$G$52</c:f>
              <c:numCache/>
            </c:numRef>
          </c:yVal>
          <c:smooth val="1"/>
        </c:ser>
        <c:axId val="26647627"/>
        <c:axId val="38502052"/>
      </c:scatterChart>
      <c:valAx>
        <c:axId val="26647627"/>
        <c:scaling>
          <c:orientation val="minMax"/>
          <c:max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rpm *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8502052"/>
        <c:crosses val="autoZero"/>
        <c:crossBetween val="midCat"/>
        <c:dispUnits/>
        <c:majorUnit val="1"/>
      </c:valAx>
      <c:valAx>
        <c:axId val="38502052"/>
        <c:scaling>
          <c:orientation val="minMax"/>
          <c:max val="2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V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6647627"/>
        <c:crosses val="autoZero"/>
        <c:crossBetween val="midCat"/>
        <c:dispUnits/>
        <c:majorUnit val="2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3) Tractive Effort Cadence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#1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 - BRG'!$B$76:$B$87</c:f>
              <c:numCache/>
            </c:numRef>
          </c:xVal>
          <c:yVal>
            <c:numRef>
              <c:f>'1999 Triumph Sprint ST - BRG'!$C$76:$C$87</c:f>
              <c:numCache/>
            </c:numRef>
          </c:yVal>
          <c:smooth val="1"/>
        </c:ser>
        <c:ser>
          <c:idx val="1"/>
          <c:order val="1"/>
          <c:tx>
            <c:v>#2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 - BRG'!$D$76:$D$87</c:f>
              <c:numCache/>
            </c:numRef>
          </c:xVal>
          <c:yVal>
            <c:numRef>
              <c:f>'1999 Triumph Sprint ST - BRG'!$E$76:$E$87</c:f>
              <c:numCache/>
            </c:numRef>
          </c:yVal>
          <c:smooth val="1"/>
        </c:ser>
        <c:ser>
          <c:idx val="2"/>
          <c:order val="2"/>
          <c:tx>
            <c:v>#3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 - BRG'!$F$76:$F$87</c:f>
              <c:numCache/>
            </c:numRef>
          </c:xVal>
          <c:yVal>
            <c:numRef>
              <c:f>'1999 Triumph Sprint ST - BRG'!$G$76:$G$87</c:f>
              <c:numCache/>
            </c:numRef>
          </c:yVal>
          <c:smooth val="1"/>
        </c:ser>
        <c:ser>
          <c:idx val="3"/>
          <c:order val="3"/>
          <c:tx>
            <c:v>#4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 - BRG'!$H$76:$H$87</c:f>
              <c:numCache/>
            </c:numRef>
          </c:xVal>
          <c:yVal>
            <c:numRef>
              <c:f>'1999 Triumph Sprint ST - BRG'!$I$76:$I$87</c:f>
              <c:numCache/>
            </c:numRef>
          </c:yVal>
          <c:smooth val="1"/>
        </c:ser>
        <c:ser>
          <c:idx val="4"/>
          <c:order val="4"/>
          <c:tx>
            <c:v>#5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xVal>
            <c:numRef>
              <c:f>'1999 Triumph Sprint ST - BRG'!$J$75:$J$87</c:f>
              <c:numCache/>
            </c:numRef>
          </c:xVal>
          <c:yVal>
            <c:numRef>
              <c:f>'1999 Triumph Sprint ST - BRG'!$K$75:$K$87</c:f>
              <c:numCache/>
            </c:numRef>
          </c:yVal>
          <c:smooth val="1"/>
        </c:ser>
        <c:ser>
          <c:idx val="5"/>
          <c:order val="5"/>
          <c:tx>
            <c:v>#6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 - BRG'!$L$76:$L$87</c:f>
              <c:numCache/>
            </c:numRef>
          </c:xVal>
          <c:yVal>
            <c:numRef>
              <c:f>'1999 Triumph Sprint ST - BRG'!$M$76:$M$87</c:f>
              <c:numCache/>
            </c:numRef>
          </c:yVal>
          <c:smooth val="1"/>
        </c:ser>
        <c:ser>
          <c:idx val="6"/>
          <c:order val="6"/>
          <c:tx>
            <c:v>R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 - BRG'!$A$91:$A$103</c:f>
              <c:numCache/>
            </c:numRef>
          </c:xVal>
          <c:yVal>
            <c:numRef>
              <c:f>'1999 Triumph Sprint ST - BRG'!$D$91:$D$103</c:f>
              <c:numCache/>
            </c:numRef>
          </c:yVal>
          <c:smooth val="1"/>
        </c:ser>
        <c:ser>
          <c:idx val="7"/>
          <c:order val="7"/>
          <c:tx>
            <c:v>Vmax</c:v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 - BRG'!$B$107:$B$108</c:f>
              <c:numCache/>
            </c:numRef>
          </c:xVal>
          <c:yVal>
            <c:numRef>
              <c:f>'1999 Triumph Sprint ST - BRG'!$A$107:$A$108</c:f>
              <c:numCache/>
            </c:numRef>
          </c:yVal>
          <c:smooth val="1"/>
        </c:ser>
        <c:ser>
          <c:idx val="8"/>
          <c:order val="8"/>
          <c:tx>
            <c:v>Pmax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Sprint ST - BRG'!$A$94:$A$103</c:f>
              <c:numCache/>
            </c:numRef>
          </c:xVal>
          <c:yVal>
            <c:numRef>
              <c:f>'1999 Triumph Sprint ST - BRG'!$F$94:$F$103</c:f>
              <c:numCache/>
            </c:numRef>
          </c:yVal>
          <c:smooth val="1"/>
        </c:ser>
        <c:axId val="10974149"/>
        <c:axId val="31658478"/>
      </c:scatterChart>
      <c:valAx>
        <c:axId val="1097414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V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658478"/>
        <c:crosses val="autoZero"/>
        <c:crossBetween val="midCat"/>
        <c:dispUnits/>
      </c:valAx>
      <c:valAx>
        <c:axId val="31658478"/>
        <c:scaling>
          <c:orientation val="minMax"/>
          <c:max val="3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TE [N]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74149"/>
        <c:crosses val="autoZero"/>
        <c:crossBetween val="midCat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9</xdr:row>
      <xdr:rowOff>28575</xdr:rowOff>
    </xdr:from>
    <xdr:to>
      <xdr:col>18</xdr:col>
      <xdr:colOff>409575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6696075" y="1495425"/>
        <a:ext cx="51625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40</xdr:row>
      <xdr:rowOff>9525</xdr:rowOff>
    </xdr:from>
    <xdr:to>
      <xdr:col>18</xdr:col>
      <xdr:colOff>333375</xdr:colOff>
      <xdr:row>70</xdr:row>
      <xdr:rowOff>142875</xdr:rowOff>
    </xdr:to>
    <xdr:graphicFrame>
      <xdr:nvGraphicFramePr>
        <xdr:cNvPr id="2" name="Chart 2"/>
        <xdr:cNvGraphicFramePr/>
      </xdr:nvGraphicFramePr>
      <xdr:xfrm>
        <a:off x="6677025" y="6534150"/>
        <a:ext cx="510540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0</xdr:colOff>
      <xdr:row>9</xdr:row>
      <xdr:rowOff>28575</xdr:rowOff>
    </xdr:from>
    <xdr:to>
      <xdr:col>36</xdr:col>
      <xdr:colOff>142875</xdr:colOff>
      <xdr:row>39</xdr:row>
      <xdr:rowOff>28575</xdr:rowOff>
    </xdr:to>
    <xdr:graphicFrame>
      <xdr:nvGraphicFramePr>
        <xdr:cNvPr id="3" name="Chart 3"/>
        <xdr:cNvGraphicFramePr/>
      </xdr:nvGraphicFramePr>
      <xdr:xfrm>
        <a:off x="17573625" y="1495425"/>
        <a:ext cx="5019675" cy="4895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0</xdr:colOff>
      <xdr:row>40</xdr:row>
      <xdr:rowOff>0</xdr:rowOff>
    </xdr:from>
    <xdr:to>
      <xdr:col>36</xdr:col>
      <xdr:colOff>142875</xdr:colOff>
      <xdr:row>70</xdr:row>
      <xdr:rowOff>142875</xdr:rowOff>
    </xdr:to>
    <xdr:graphicFrame>
      <xdr:nvGraphicFramePr>
        <xdr:cNvPr id="4" name="Chart 4"/>
        <xdr:cNvGraphicFramePr/>
      </xdr:nvGraphicFramePr>
      <xdr:xfrm>
        <a:off x="17573625" y="6524625"/>
        <a:ext cx="5019675" cy="5010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27</xdr:col>
      <xdr:colOff>180975</xdr:colOff>
      <xdr:row>70</xdr:row>
      <xdr:rowOff>123825</xdr:rowOff>
    </xdr:to>
    <xdr:graphicFrame>
      <xdr:nvGraphicFramePr>
        <xdr:cNvPr id="5" name="Chart 5"/>
        <xdr:cNvGraphicFramePr/>
      </xdr:nvGraphicFramePr>
      <xdr:xfrm>
        <a:off x="12087225" y="6524625"/>
        <a:ext cx="5057775" cy="4991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0</xdr:colOff>
      <xdr:row>9</xdr:row>
      <xdr:rowOff>0</xdr:rowOff>
    </xdr:from>
    <xdr:to>
      <xdr:col>27</xdr:col>
      <xdr:colOff>142875</xdr:colOff>
      <xdr:row>38</xdr:row>
      <xdr:rowOff>142875</xdr:rowOff>
    </xdr:to>
    <xdr:graphicFrame>
      <xdr:nvGraphicFramePr>
        <xdr:cNvPr id="6" name="Chart 12"/>
        <xdr:cNvGraphicFramePr/>
      </xdr:nvGraphicFramePr>
      <xdr:xfrm>
        <a:off x="12087225" y="1466850"/>
        <a:ext cx="5019675" cy="4876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9</xdr:row>
      <xdr:rowOff>28575</xdr:rowOff>
    </xdr:from>
    <xdr:to>
      <xdr:col>18</xdr:col>
      <xdr:colOff>409575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6696075" y="1495425"/>
        <a:ext cx="51625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40</xdr:row>
      <xdr:rowOff>9525</xdr:rowOff>
    </xdr:from>
    <xdr:to>
      <xdr:col>18</xdr:col>
      <xdr:colOff>333375</xdr:colOff>
      <xdr:row>70</xdr:row>
      <xdr:rowOff>142875</xdr:rowOff>
    </xdr:to>
    <xdr:graphicFrame>
      <xdr:nvGraphicFramePr>
        <xdr:cNvPr id="2" name="Chart 2"/>
        <xdr:cNvGraphicFramePr/>
      </xdr:nvGraphicFramePr>
      <xdr:xfrm>
        <a:off x="6677025" y="6534150"/>
        <a:ext cx="510540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0</xdr:colOff>
      <xdr:row>9</xdr:row>
      <xdr:rowOff>28575</xdr:rowOff>
    </xdr:from>
    <xdr:to>
      <xdr:col>36</xdr:col>
      <xdr:colOff>142875</xdr:colOff>
      <xdr:row>39</xdr:row>
      <xdr:rowOff>28575</xdr:rowOff>
    </xdr:to>
    <xdr:graphicFrame>
      <xdr:nvGraphicFramePr>
        <xdr:cNvPr id="3" name="Chart 3"/>
        <xdr:cNvGraphicFramePr/>
      </xdr:nvGraphicFramePr>
      <xdr:xfrm>
        <a:off x="17573625" y="1495425"/>
        <a:ext cx="5019675" cy="4895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0</xdr:colOff>
      <xdr:row>40</xdr:row>
      <xdr:rowOff>0</xdr:rowOff>
    </xdr:from>
    <xdr:to>
      <xdr:col>36</xdr:col>
      <xdr:colOff>142875</xdr:colOff>
      <xdr:row>70</xdr:row>
      <xdr:rowOff>142875</xdr:rowOff>
    </xdr:to>
    <xdr:graphicFrame>
      <xdr:nvGraphicFramePr>
        <xdr:cNvPr id="4" name="Chart 4"/>
        <xdr:cNvGraphicFramePr/>
      </xdr:nvGraphicFramePr>
      <xdr:xfrm>
        <a:off x="17573625" y="6524625"/>
        <a:ext cx="5019675" cy="5010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27</xdr:col>
      <xdr:colOff>180975</xdr:colOff>
      <xdr:row>70</xdr:row>
      <xdr:rowOff>123825</xdr:rowOff>
    </xdr:to>
    <xdr:graphicFrame>
      <xdr:nvGraphicFramePr>
        <xdr:cNvPr id="5" name="Chart 5"/>
        <xdr:cNvGraphicFramePr/>
      </xdr:nvGraphicFramePr>
      <xdr:xfrm>
        <a:off x="12087225" y="6524625"/>
        <a:ext cx="5057775" cy="4991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0</xdr:colOff>
      <xdr:row>9</xdr:row>
      <xdr:rowOff>0</xdr:rowOff>
    </xdr:from>
    <xdr:to>
      <xdr:col>27</xdr:col>
      <xdr:colOff>142875</xdr:colOff>
      <xdr:row>38</xdr:row>
      <xdr:rowOff>142875</xdr:rowOff>
    </xdr:to>
    <xdr:graphicFrame>
      <xdr:nvGraphicFramePr>
        <xdr:cNvPr id="6" name="Chart 7"/>
        <xdr:cNvGraphicFramePr/>
      </xdr:nvGraphicFramePr>
      <xdr:xfrm>
        <a:off x="12087225" y="1466850"/>
        <a:ext cx="5019675" cy="4876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504825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0" y="171450"/>
        <a:ext cx="53816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590550</xdr:colOff>
      <xdr:row>1</xdr:row>
      <xdr:rowOff>19050</xdr:rowOff>
    </xdr:from>
    <xdr:to>
      <xdr:col>18</xdr:col>
      <xdr:colOff>19050</xdr:colOff>
      <xdr:row>29</xdr:row>
      <xdr:rowOff>47625</xdr:rowOff>
    </xdr:to>
    <xdr:graphicFrame>
      <xdr:nvGraphicFramePr>
        <xdr:cNvPr id="2" name="Chart 2"/>
        <xdr:cNvGraphicFramePr/>
      </xdr:nvGraphicFramePr>
      <xdr:xfrm>
        <a:off x="5467350" y="180975"/>
        <a:ext cx="5524500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mbined%2088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4 Triumph Trophy 3"/>
      <sheetName val="1996 Triumph Speed III - Bonz"/>
      <sheetName val="Summa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9"/>
  <sheetViews>
    <sheetView zoomScale="75" zoomScaleNormal="75" workbookViewId="0" topLeftCell="A1">
      <selection activeCell="G15" sqref="G15"/>
    </sheetView>
  </sheetViews>
  <sheetFormatPr defaultColWidth="9.140625" defaultRowHeight="12.75"/>
  <cols>
    <col min="1" max="1" width="17.421875" style="5" customWidth="1"/>
    <col min="2" max="2" width="11.57421875" style="5" bestFit="1" customWidth="1"/>
    <col min="3" max="3" width="9.28125" style="5" bestFit="1" customWidth="1"/>
    <col min="4" max="4" width="8.8515625" style="5" bestFit="1" customWidth="1"/>
    <col min="5" max="5" width="8.140625" style="5" bestFit="1" customWidth="1"/>
    <col min="6" max="6" width="7.7109375" style="5" customWidth="1"/>
    <col min="7" max="7" width="11.00390625" style="5" bestFit="1" customWidth="1"/>
    <col min="8" max="8" width="8.8515625" style="5" bestFit="1" customWidth="1"/>
    <col min="9" max="9" width="9.57421875" style="5" bestFit="1" customWidth="1"/>
    <col min="10" max="10" width="7.57421875" style="5" bestFit="1" customWidth="1"/>
    <col min="11" max="11" width="7.7109375" style="5" customWidth="1"/>
    <col min="12" max="12" width="8.57421875" style="5" bestFit="1" customWidth="1"/>
    <col min="13" max="13" width="9.28125" style="5" bestFit="1" customWidth="1"/>
    <col min="14" max="14" width="9.57421875" style="5" bestFit="1" customWidth="1"/>
    <col min="15" max="18" width="9.140625" style="5" customWidth="1"/>
    <col min="19" max="19" width="9.57421875" style="5" bestFit="1" customWidth="1"/>
    <col min="20" max="16384" width="9.140625" style="5" customWidth="1"/>
  </cols>
  <sheetData>
    <row r="1" spans="1:5" ht="12.75">
      <c r="A1" s="4" t="s">
        <v>123</v>
      </c>
      <c r="D1" s="4" t="s">
        <v>101</v>
      </c>
      <c r="E1" s="5" t="s">
        <v>122</v>
      </c>
    </row>
    <row r="2" ht="12.75">
      <c r="A2" s="12" t="s">
        <v>100</v>
      </c>
    </row>
    <row r="3" spans="1:13" ht="13.5" thickBot="1">
      <c r="A3" s="4" t="s">
        <v>80</v>
      </c>
      <c r="D3" s="127"/>
      <c r="E3" s="59" t="s">
        <v>69</v>
      </c>
      <c r="F3" s="58"/>
      <c r="G3" s="58"/>
      <c r="H3" s="58"/>
      <c r="I3" s="58"/>
      <c r="J3" s="58"/>
      <c r="K3" s="59" t="s">
        <v>94</v>
      </c>
      <c r="L3" s="64"/>
      <c r="M3" s="60"/>
    </row>
    <row r="4" spans="1:13" ht="12.75">
      <c r="A4" s="38"/>
      <c r="B4" s="34" t="s">
        <v>13</v>
      </c>
      <c r="C4" s="33" t="s">
        <v>2</v>
      </c>
      <c r="D4" s="36" t="s">
        <v>75</v>
      </c>
      <c r="E4" s="61">
        <v>60</v>
      </c>
      <c r="F4" s="24" t="s">
        <v>18</v>
      </c>
      <c r="G4" s="128">
        <f>(a_ref1*1.609-INDEX($A$112:$I$138,MATCH(a_ref1*1.609,$A$112:$A$138,1),1))/(INDEX($A$112:$I$138,MATCH(a_ref1*1.609,$A$112:$A$138,1)+1,1)-INDEX($A$112:$I$138,MATCH(a_ref1*1.609,$A$112:$A$138,1),1))*(INDEX($A$112:$I$138,MATCH(a_ref1*1.609,$A$112:$A$138,1)+1,9)-INDEX($A$112:$I$138,MATCH(a_ref1*1.609,$A$112:$A$138,1),9))+INDEX($A$112:$I$138,MATCH(a_ref1*1.609,$A$112:$A$138,1),9)</f>
        <v>3.0576052902219346</v>
      </c>
      <c r="H4" s="61" t="s">
        <v>4</v>
      </c>
      <c r="I4" s="24"/>
      <c r="J4" s="24"/>
      <c r="K4" s="24" t="s">
        <v>2</v>
      </c>
      <c r="L4" s="129">
        <f>krpm11/krpm7</f>
        <v>1.8</v>
      </c>
      <c r="M4" s="72"/>
    </row>
    <row r="5" spans="1:13" ht="12.75">
      <c r="A5" s="16" t="s">
        <v>58</v>
      </c>
      <c r="B5" s="17"/>
      <c r="C5" s="39"/>
      <c r="D5" s="36" t="s">
        <v>75</v>
      </c>
      <c r="E5" s="61">
        <v>100</v>
      </c>
      <c r="F5" s="24" t="s">
        <v>18</v>
      </c>
      <c r="G5" s="128">
        <f>(a_ref2*1.609-INDEX($A$112:$I$138,MATCH(a_ref2*1.609,$A$112:$A$138,1),1))/(INDEX($A$112:$I$138,MATCH(a_ref2*1.609,$A$112:$A$138,1)+1,1)-INDEX($A$112:$I$138,MATCH(a_ref2*1.609,$A$112:$A$138,1),1))*(INDEX($A$112:$I$138,MATCH(a_ref2*1.609,$A$112:$A$138,1)+1,9)-INDEX($A$112:$I$138,MATCH(a_ref2*1.609,$A$112:$A$138,1),9))+INDEX($A$112:$I$138,MATCH(a_ref2*1.609,$A$112:$A$138,1),9)</f>
        <v>7.533712203559901</v>
      </c>
      <c r="H5" s="61" t="s">
        <v>4</v>
      </c>
      <c r="I5" s="24"/>
      <c r="J5" s="24"/>
      <c r="K5" s="24" t="s">
        <v>92</v>
      </c>
      <c r="L5" s="129">
        <f>Torque7/Torque11</f>
        <v>1.1076923076923078</v>
      </c>
      <c r="M5" s="72"/>
    </row>
    <row r="6" spans="1:13" ht="12.75">
      <c r="A6" s="16" t="s">
        <v>59</v>
      </c>
      <c r="B6" s="17"/>
      <c r="C6" s="39"/>
      <c r="D6" s="24"/>
      <c r="E6" s="61" t="s">
        <v>51</v>
      </c>
      <c r="F6" s="24"/>
      <c r="G6" s="130">
        <f>(402.336-INDEX($A$112:$L$138,MATCH(402.336,$L$112:$L$138,1),12))/(INDEX($A$112:$L$138,MATCH(402.336,$L$112:$L$138,1)+1,12)-INDEX($A$112:$L$138,MATCH(402.336,$L$112:$L$138,1),12))*(INDEX($A$112:$L$138,MATCH(402.336,$L$112:$L$138,1)+1,9)-INDEX($A$112:$L$138,MATCH(402.336,$L$112:$L$138,1),9))+INDEX($A$112:$L$138,MATCH(402.336,$L$112:$L$138,1),9)</f>
        <v>11.504876414368535</v>
      </c>
      <c r="H6" s="61" t="s">
        <v>68</v>
      </c>
      <c r="I6" s="131">
        <f>((402.336-INDEX($A$112:$L$138,MATCH(402.336,$L$112:$L$138,1),12))/(INDEX($A$112:$L$138,MATCH(402.336,$L$112:$L$138,1)+1,12)-INDEX($A$112:$L$138,MATCH(402.336,$L$112:$L$138,1),12))*(INDEX($A$112:$L$138,MATCH(402.336,$L$112:$L$138,1)+1,1)-INDEX($A$112:$L$138,MATCH(402.336,$L$112:$L$138,1),1))+INDEX($A$112:$L$138,MATCH(402.336,$L$112:$L$138,1),1))/1.609</f>
        <v>120.08034976699045</v>
      </c>
      <c r="J6" s="61" t="s">
        <v>18</v>
      </c>
      <c r="K6" s="61" t="s">
        <v>93</v>
      </c>
      <c r="L6" s="155">
        <f>L4*L5</f>
        <v>1.993846153846154</v>
      </c>
      <c r="M6" s="72"/>
    </row>
    <row r="7" spans="1:19" ht="12.75">
      <c r="A7" s="16" t="s">
        <v>60</v>
      </c>
      <c r="B7" s="17"/>
      <c r="C7" s="39"/>
      <c r="D7" s="107"/>
      <c r="E7" s="146" t="s">
        <v>108</v>
      </c>
      <c r="F7" s="107"/>
      <c r="G7" s="107"/>
      <c r="H7" s="132"/>
      <c r="I7" s="107"/>
      <c r="J7" s="107"/>
      <c r="K7" s="107"/>
      <c r="L7" s="74"/>
      <c r="M7" s="74"/>
      <c r="S7" s="35"/>
    </row>
    <row r="8" spans="1:4" ht="12.75">
      <c r="A8" s="16" t="s">
        <v>61</v>
      </c>
      <c r="B8" s="17"/>
      <c r="C8" s="39"/>
      <c r="D8" s="24"/>
    </row>
    <row r="9" spans="1:4" ht="12.75">
      <c r="A9" s="16" t="s">
        <v>62</v>
      </c>
      <c r="B9" s="17">
        <v>28.170629370629367</v>
      </c>
      <c r="C9" s="39">
        <v>3500</v>
      </c>
      <c r="D9" s="24"/>
    </row>
    <row r="10" spans="1:4" ht="12.75">
      <c r="A10" s="16" t="s">
        <v>63</v>
      </c>
      <c r="B10" s="17">
        <v>31.82237762237762</v>
      </c>
      <c r="C10" s="39">
        <v>4000</v>
      </c>
      <c r="D10" s="24"/>
    </row>
    <row r="11" spans="1:4" ht="12.75">
      <c r="A11" s="16" t="s">
        <v>64</v>
      </c>
      <c r="B11" s="17">
        <v>50.08111888111888</v>
      </c>
      <c r="C11" s="39">
        <v>5000</v>
      </c>
      <c r="D11" s="24"/>
    </row>
    <row r="12" spans="1:4" ht="12.75">
      <c r="A12" s="16" t="s">
        <v>76</v>
      </c>
      <c r="B12" s="17">
        <v>56.86293706293706</v>
      </c>
      <c r="C12" s="39">
        <v>6000</v>
      </c>
      <c r="D12" s="24"/>
    </row>
    <row r="13" spans="1:4" ht="12.75">
      <c r="A13" s="16" t="s">
        <v>89</v>
      </c>
      <c r="B13" s="17">
        <v>62.60139860139861</v>
      </c>
      <c r="C13" s="39">
        <v>7000</v>
      </c>
      <c r="D13" s="24"/>
    </row>
    <row r="14" spans="1:4" ht="12.75">
      <c r="A14" s="16" t="s">
        <v>90</v>
      </c>
      <c r="B14" s="17">
        <v>72.51328671328672</v>
      </c>
      <c r="C14" s="39">
        <v>8000</v>
      </c>
      <c r="D14" s="24"/>
    </row>
    <row r="15" spans="1:4" ht="12.75">
      <c r="A15" s="16" t="s">
        <v>91</v>
      </c>
      <c r="B15" s="17">
        <v>81.38181818181818</v>
      </c>
      <c r="C15" s="39">
        <v>9000</v>
      </c>
      <c r="D15" s="24"/>
    </row>
    <row r="16" spans="1:4" ht="13.5" thickBot="1">
      <c r="A16" s="19" t="s">
        <v>65</v>
      </c>
      <c r="B16" s="20">
        <v>78.77342657342658</v>
      </c>
      <c r="C16" s="40">
        <v>9600</v>
      </c>
      <c r="D16" s="24" t="s">
        <v>20</v>
      </c>
    </row>
    <row r="17" spans="1:5" ht="12.75">
      <c r="A17" s="115" t="s">
        <v>33</v>
      </c>
      <c r="B17" s="120">
        <v>0.2</v>
      </c>
      <c r="C17" s="15"/>
      <c r="D17" s="15"/>
      <c r="E17" s="13"/>
    </row>
    <row r="18" spans="1:5" ht="12.75">
      <c r="A18" s="16" t="s">
        <v>71</v>
      </c>
      <c r="B18" s="121">
        <v>1</v>
      </c>
      <c r="C18" s="24" t="s">
        <v>66</v>
      </c>
      <c r="D18" s="24"/>
      <c r="E18" s="18"/>
    </row>
    <row r="19" spans="1:5" ht="12.75">
      <c r="A19" s="16" t="s">
        <v>72</v>
      </c>
      <c r="B19" s="121">
        <v>0.25</v>
      </c>
      <c r="C19" s="24" t="s">
        <v>4</v>
      </c>
      <c r="D19" s="24"/>
      <c r="E19" s="18"/>
    </row>
    <row r="20" spans="1:5" ht="12.75">
      <c r="A20" s="16" t="s">
        <v>23</v>
      </c>
      <c r="B20" s="122">
        <v>0.0466</v>
      </c>
      <c r="C20" s="123" t="s">
        <v>85</v>
      </c>
      <c r="D20" s="24"/>
      <c r="E20" s="18"/>
    </row>
    <row r="21" spans="1:5" ht="12.75">
      <c r="A21" s="16" t="s">
        <v>24</v>
      </c>
      <c r="B21" s="134">
        <v>0.0462</v>
      </c>
      <c r="C21" s="123" t="s">
        <v>86</v>
      </c>
      <c r="D21" s="24"/>
      <c r="E21" s="18"/>
    </row>
    <row r="22" spans="1:5" ht="12.75">
      <c r="A22" s="16" t="s">
        <v>84</v>
      </c>
      <c r="B22" s="134">
        <v>0.0806</v>
      </c>
      <c r="C22" s="123" t="s">
        <v>87</v>
      </c>
      <c r="D22" s="24"/>
      <c r="E22" s="18"/>
    </row>
    <row r="23" spans="1:5" ht="12.75">
      <c r="A23" s="16" t="s">
        <v>36</v>
      </c>
      <c r="B23" s="116">
        <v>0</v>
      </c>
      <c r="C23" s="24" t="s">
        <v>6</v>
      </c>
      <c r="D23" s="24"/>
      <c r="E23" s="18"/>
    </row>
    <row r="24" spans="1:5" ht="12.75">
      <c r="A24" s="16" t="s">
        <v>22</v>
      </c>
      <c r="B24" s="116">
        <v>90</v>
      </c>
      <c r="C24" s="24" t="s">
        <v>6</v>
      </c>
      <c r="D24" s="24"/>
      <c r="E24" s="18"/>
    </row>
    <row r="25" spans="1:5" ht="12.75">
      <c r="A25" s="16" t="s">
        <v>12</v>
      </c>
      <c r="B25" s="116">
        <v>232</v>
      </c>
      <c r="C25" s="24" t="s">
        <v>73</v>
      </c>
      <c r="D25" s="116">
        <v>8882</v>
      </c>
      <c r="E25" s="18" t="s">
        <v>2</v>
      </c>
    </row>
    <row r="26" spans="1:5" ht="13.5" thickBot="1">
      <c r="A26" s="19" t="s">
        <v>77</v>
      </c>
      <c r="B26" s="124">
        <v>251</v>
      </c>
      <c r="C26" s="125" t="s">
        <v>78</v>
      </c>
      <c r="D26" s="126">
        <f>Vmax_actual/1.609</f>
        <v>155.9975139838409</v>
      </c>
      <c r="E26" s="21" t="s">
        <v>18</v>
      </c>
    </row>
    <row r="27" ht="12.75"/>
    <row r="28" ht="13.5" thickBot="1">
      <c r="A28" s="4" t="s">
        <v>19</v>
      </c>
    </row>
    <row r="29" spans="1:4" ht="12.75">
      <c r="A29" s="14"/>
      <c r="B29" s="15" t="s">
        <v>9</v>
      </c>
      <c r="C29" s="15" t="s">
        <v>10</v>
      </c>
      <c r="D29" s="13" t="s">
        <v>67</v>
      </c>
    </row>
    <row r="30" spans="1:4" ht="12.75">
      <c r="A30" s="22" t="s">
        <v>25</v>
      </c>
      <c r="B30" s="41">
        <v>105</v>
      </c>
      <c r="C30" s="41">
        <v>60</v>
      </c>
      <c r="D30" s="18"/>
    </row>
    <row r="31" spans="1:4" ht="12.75">
      <c r="A31" s="22" t="s">
        <v>26</v>
      </c>
      <c r="B31" s="41">
        <v>41</v>
      </c>
      <c r="C31" s="41">
        <v>15</v>
      </c>
      <c r="D31" s="31">
        <f>Crown_p/Pinion_p*Crown_1/Pinion_1*Crown_f/Pinion_f</f>
        <v>11.426851851851852</v>
      </c>
    </row>
    <row r="32" spans="1:4" ht="12.75">
      <c r="A32" s="22" t="s">
        <v>27</v>
      </c>
      <c r="B32" s="41">
        <v>37</v>
      </c>
      <c r="C32" s="41">
        <v>19</v>
      </c>
      <c r="D32" s="31">
        <f>Crown_p/Pinion_p*Crown_2/Pinion_2*Crown_f/Pinion_f</f>
        <v>8.14108187134503</v>
      </c>
    </row>
    <row r="33" spans="1:4" ht="12.75">
      <c r="A33" s="22" t="s">
        <v>28</v>
      </c>
      <c r="B33" s="41">
        <v>34</v>
      </c>
      <c r="C33" s="41">
        <v>22</v>
      </c>
      <c r="D33" s="31">
        <f>Crown_p/Pinion_p*Crown_3/Pinion_3*Crown_f/Pinion_f</f>
        <v>6.460858585858586</v>
      </c>
    </row>
    <row r="34" spans="1:4" ht="12.75">
      <c r="A34" s="22" t="s">
        <v>29</v>
      </c>
      <c r="B34" s="41">
        <v>31</v>
      </c>
      <c r="C34" s="41">
        <v>24</v>
      </c>
      <c r="D34" s="31">
        <f>Crown_p/Pinion_p*Crown_4/Pinion_4*Crown_f/Pinion_f</f>
        <v>5.399884259259259</v>
      </c>
    </row>
    <row r="35" spans="1:4" ht="12.75">
      <c r="A35" s="22" t="s">
        <v>30</v>
      </c>
      <c r="B35" s="41">
        <v>30</v>
      </c>
      <c r="C35" s="41">
        <v>26</v>
      </c>
      <c r="D35" s="31">
        <f>Crown_p/Pinion_p*Crown_5/Pinion_5*Crown_f/Pinion_f</f>
        <v>4.823717948717949</v>
      </c>
    </row>
    <row r="36" spans="1:4" ht="12.75">
      <c r="A36" s="22" t="s">
        <v>31</v>
      </c>
      <c r="B36" s="41">
        <v>29</v>
      </c>
      <c r="C36" s="41">
        <v>27</v>
      </c>
      <c r="D36" s="31">
        <f>Crown_p/Pinion_p*Crown_6/Pinion_6*Crown_f/Pinion_f</f>
        <v>4.49022633744856</v>
      </c>
    </row>
    <row r="37" spans="1:4" ht="13.5" thickBot="1">
      <c r="A37" s="23" t="s">
        <v>32</v>
      </c>
      <c r="B37" s="42">
        <v>43</v>
      </c>
      <c r="C37" s="42">
        <v>18</v>
      </c>
      <c r="D37" s="21"/>
    </row>
    <row r="38" spans="1:3" ht="12.75">
      <c r="A38" s="115" t="s">
        <v>21</v>
      </c>
      <c r="B38" s="135">
        <v>207</v>
      </c>
      <c r="C38" s="136" t="s">
        <v>6</v>
      </c>
    </row>
    <row r="39" spans="1:3" ht="12.75">
      <c r="A39" s="16" t="s">
        <v>34</v>
      </c>
      <c r="B39" s="137">
        <v>10</v>
      </c>
      <c r="C39" s="138" t="s">
        <v>109</v>
      </c>
    </row>
    <row r="40" spans="1:3" ht="12.75">
      <c r="A40" s="16" t="s">
        <v>56</v>
      </c>
      <c r="B40" s="139">
        <v>4</v>
      </c>
      <c r="C40" s="138" t="s">
        <v>37</v>
      </c>
    </row>
    <row r="41" spans="1:3" ht="12.75">
      <c r="A41" s="16" t="s">
        <v>57</v>
      </c>
      <c r="B41" s="139">
        <v>0.918</v>
      </c>
      <c r="C41" s="138" t="s">
        <v>37</v>
      </c>
    </row>
    <row r="42" spans="1:3" ht="12.75">
      <c r="A42" s="16" t="s">
        <v>35</v>
      </c>
      <c r="B42" s="140">
        <v>2.8</v>
      </c>
      <c r="C42" s="138" t="s">
        <v>37</v>
      </c>
    </row>
    <row r="43" spans="1:3" ht="12.75">
      <c r="A43" s="16" t="s">
        <v>38</v>
      </c>
      <c r="B43" s="91">
        <f>SUM(M_bike,V_fuel*0.7,(V_oil+V_fork)*0.9,V_water,M_accessories,M_rider)</f>
        <v>311.2262</v>
      </c>
      <c r="C43" s="138" t="s">
        <v>6</v>
      </c>
    </row>
    <row r="44" spans="1:3" ht="12.75">
      <c r="A44" s="16" t="s">
        <v>83</v>
      </c>
      <c r="B44" s="117">
        <f>(1-Loss_crank_gearbox)*(1-Loss_gearbox_wheel)*(1-Loss_wheel_road)</f>
        <v>0.836059074648</v>
      </c>
      <c r="C44" s="18"/>
    </row>
    <row r="45" spans="1:3" ht="12.75">
      <c r="A45" s="16" t="s">
        <v>39</v>
      </c>
      <c r="B45" s="118">
        <f>Gearing_v*1000/3600/(Gearing_rpm/Ratio6/60*2*PI())</f>
        <v>0.31111025743427606</v>
      </c>
      <c r="C45" s="18" t="s">
        <v>81</v>
      </c>
    </row>
    <row r="46" spans="1:3" ht="12.75">
      <c r="A46" s="16" t="s">
        <v>45</v>
      </c>
      <c r="B46" s="89">
        <f>vmax6*1000/3600</f>
        <v>69.65398183592283</v>
      </c>
      <c r="C46" s="18" t="s">
        <v>0</v>
      </c>
    </row>
    <row r="47" spans="1:3" ht="13.5" thickBot="1">
      <c r="A47" s="19" t="s">
        <v>46</v>
      </c>
      <c r="B47" s="119">
        <v>0</v>
      </c>
      <c r="C47" s="21" t="s">
        <v>47</v>
      </c>
    </row>
    <row r="48" spans="1:8" ht="12.75">
      <c r="A48"/>
      <c r="B48"/>
      <c r="C48"/>
      <c r="D48"/>
      <c r="E48" s="6"/>
      <c r="F48"/>
      <c r="G48"/>
      <c r="H48"/>
    </row>
    <row r="49" spans="1:8" s="4" customFormat="1" ht="12.75">
      <c r="A49" s="46" t="s">
        <v>11</v>
      </c>
      <c r="B49" s="47"/>
      <c r="C49" s="47"/>
      <c r="D49" s="47"/>
      <c r="E49" s="48"/>
      <c r="F49" s="47"/>
      <c r="G49" s="47"/>
      <c r="H49" s="49"/>
    </row>
    <row r="50" spans="1:8" s="4" customFormat="1" ht="12.75">
      <c r="A50" s="50" t="s">
        <v>7</v>
      </c>
      <c r="B50" s="51">
        <v>1</v>
      </c>
      <c r="C50" s="51">
        <v>2</v>
      </c>
      <c r="D50" s="51">
        <v>3</v>
      </c>
      <c r="E50" s="51">
        <v>4</v>
      </c>
      <c r="F50" s="51">
        <v>5</v>
      </c>
      <c r="G50" s="51">
        <v>6</v>
      </c>
      <c r="H50" s="52"/>
    </row>
    <row r="51" spans="1:14" ht="12.75">
      <c r="A51" s="53">
        <f>krpm0</f>
        <v>0</v>
      </c>
      <c r="B51" s="41">
        <v>0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54"/>
      <c r="N51" s="32"/>
    </row>
    <row r="52" spans="1:14" ht="12.75">
      <c r="A52" s="55">
        <f>krpmMax</f>
        <v>9.6</v>
      </c>
      <c r="B52" s="56">
        <f>vmax6*Ratio6/Ratio1</f>
        <v>98.5349011337445</v>
      </c>
      <c r="C52" s="56">
        <f>vmax6*Ratio6/Ratio2</f>
        <v>138.30394231204858</v>
      </c>
      <c r="D52" s="56">
        <f>vmax6*Ratio6/Ratio3</f>
        <v>174.2715310247795</v>
      </c>
      <c r="E52" s="56">
        <f>vmax6*Ratio6/Ratio4</f>
        <v>208.51256497979483</v>
      </c>
      <c r="F52" s="56">
        <f>vmax6*Ratio6/Ratio5</f>
        <v>233.41823246349253</v>
      </c>
      <c r="G52" s="56">
        <f>rpmMax/Gearing_rpm*Gearing_v</f>
        <v>250.75433460932223</v>
      </c>
      <c r="H52" s="57" t="s">
        <v>1</v>
      </c>
      <c r="N52" s="32"/>
    </row>
    <row r="53" ht="12.75"/>
    <row r="54" spans="2:9" ht="12.75">
      <c r="B54" s="46" t="s">
        <v>82</v>
      </c>
      <c r="C54" s="108"/>
      <c r="D54" s="133"/>
      <c r="E54" s="133"/>
      <c r="F54" s="58"/>
      <c r="G54" s="58"/>
      <c r="H54" s="58"/>
      <c r="I54" s="60"/>
    </row>
    <row r="55" spans="1:10" ht="12.75">
      <c r="A55" s="10" t="s">
        <v>7</v>
      </c>
      <c r="B55" s="50" t="s">
        <v>107</v>
      </c>
      <c r="C55" s="52" t="s">
        <v>8</v>
      </c>
      <c r="D55" s="47"/>
      <c r="E55" s="58"/>
      <c r="F55" s="47" t="s">
        <v>102</v>
      </c>
      <c r="G55" s="59"/>
      <c r="H55" s="58"/>
      <c r="I55" s="60"/>
      <c r="J55" s="11"/>
    </row>
    <row r="56" spans="1:10" ht="12.75">
      <c r="A56" s="11"/>
      <c r="B56" s="109" t="s">
        <v>13</v>
      </c>
      <c r="C56" s="110" t="s">
        <v>3</v>
      </c>
      <c r="D56" s="51">
        <v>1</v>
      </c>
      <c r="E56" s="61">
        <v>2</v>
      </c>
      <c r="F56" s="51">
        <v>3</v>
      </c>
      <c r="G56" s="61">
        <v>4</v>
      </c>
      <c r="H56" s="61">
        <v>5</v>
      </c>
      <c r="I56" s="62">
        <v>6</v>
      </c>
      <c r="J56" s="11"/>
    </row>
    <row r="57" spans="1:10" ht="12.75">
      <c r="A57" s="11">
        <v>0</v>
      </c>
      <c r="B57" s="111"/>
      <c r="C57" s="112"/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44">
        <v>0</v>
      </c>
      <c r="J57" s="25"/>
    </row>
    <row r="58" spans="1:10" ht="12.75">
      <c r="A58" s="11">
        <f>rpm1/1000</f>
        <v>0</v>
      </c>
      <c r="B58" s="111">
        <f>cPower1</f>
        <v>0</v>
      </c>
      <c r="C58" s="112" t="e">
        <f>Power1/(krpm1*1000/60*2*PI())*1000</f>
        <v>#DIV/0!</v>
      </c>
      <c r="D58" s="37">
        <f>krpm1/krpmMax*vmax1</f>
        <v>0</v>
      </c>
      <c r="E58" s="37">
        <f>krpm1/krpmMax*vmax2</f>
        <v>0</v>
      </c>
      <c r="F58" s="37">
        <f>krpm1/krpmMax*vmax3</f>
        <v>0</v>
      </c>
      <c r="G58" s="37">
        <f>krpm1/krpmMax*vmax4</f>
        <v>0</v>
      </c>
      <c r="H58" s="37">
        <f>krpm1/krpmMax*vmax5</f>
        <v>0</v>
      </c>
      <c r="I58" s="44">
        <f>krpm1/krpmMax*vmax6</f>
        <v>0</v>
      </c>
      <c r="J58" s="25"/>
    </row>
    <row r="59" spans="1:10" ht="12.75">
      <c r="A59" s="11">
        <f>rpm2/1000</f>
        <v>0</v>
      </c>
      <c r="B59" s="111">
        <f>cPower2</f>
        <v>0</v>
      </c>
      <c r="C59" s="112" t="e">
        <f>Power2/(krpm2*1000/60*2*PI())*1000</f>
        <v>#DIV/0!</v>
      </c>
      <c r="D59" s="37">
        <f>krpm2/krpmMax*vmax1</f>
        <v>0</v>
      </c>
      <c r="E59" s="37">
        <f>krpm2/krpmMax*vmax2</f>
        <v>0</v>
      </c>
      <c r="F59" s="37">
        <f>krpm2/krpmMax*vmax3</f>
        <v>0</v>
      </c>
      <c r="G59" s="37">
        <f>krpm2/krpmMax*vmax4</f>
        <v>0</v>
      </c>
      <c r="H59" s="37">
        <f>krpm2/krpmMax*vmax5</f>
        <v>0</v>
      </c>
      <c r="I59" s="44">
        <f>krpm2/krpmMax*vmax6</f>
        <v>0</v>
      </c>
      <c r="J59" s="25"/>
    </row>
    <row r="60" spans="1:10" ht="12.75">
      <c r="A60" s="11">
        <f>rpm3/1000</f>
        <v>0</v>
      </c>
      <c r="B60" s="111">
        <f>cPower3</f>
        <v>0</v>
      </c>
      <c r="C60" s="112" t="e">
        <f>Power3/(krpm3*1000/60*2*PI())*1000</f>
        <v>#DIV/0!</v>
      </c>
      <c r="D60" s="37">
        <f>krpm3/krpmMax*vmax1</f>
        <v>0</v>
      </c>
      <c r="E60" s="37">
        <f>krpm3/krpmMax*vmax2</f>
        <v>0</v>
      </c>
      <c r="F60" s="37">
        <f>krpm3/krpmMax*vmax3</f>
        <v>0</v>
      </c>
      <c r="G60" s="37">
        <f>krpm3/krpmMax*vmax4</f>
        <v>0</v>
      </c>
      <c r="H60" s="37">
        <f>krpm3/krpmMax*vmax5</f>
        <v>0</v>
      </c>
      <c r="I60" s="44">
        <f>krpm3/krpmMax*vmax6</f>
        <v>0</v>
      </c>
      <c r="J60" s="25"/>
    </row>
    <row r="61" spans="1:10" ht="12.75">
      <c r="A61" s="11">
        <f>rpm4/1000</f>
        <v>0</v>
      </c>
      <c r="B61" s="111">
        <f>cPower4</f>
        <v>0</v>
      </c>
      <c r="C61" s="112" t="e">
        <f>Power4/(krpm4*1000/60*2*PI())*1000</f>
        <v>#DIV/0!</v>
      </c>
      <c r="D61" s="37">
        <f>krpm4/krpmMax*vmax1</f>
        <v>0</v>
      </c>
      <c r="E61" s="37">
        <f>krpm4/krpmMax*vmax2</f>
        <v>0</v>
      </c>
      <c r="F61" s="37">
        <f>krpm4/krpmMax*vmax3</f>
        <v>0</v>
      </c>
      <c r="G61" s="37">
        <f>krpm4/krpmMax*vmax4</f>
        <v>0</v>
      </c>
      <c r="H61" s="37">
        <f>krpm4/krpmMax*vmax5</f>
        <v>0</v>
      </c>
      <c r="I61" s="44">
        <f>krpm4/krpmMax*vmax6</f>
        <v>0</v>
      </c>
      <c r="J61" s="25"/>
    </row>
    <row r="62" spans="1:10" ht="12.75">
      <c r="A62" s="11">
        <f>rpm5/1000</f>
        <v>3.5</v>
      </c>
      <c r="B62" s="111">
        <f>cPower5</f>
        <v>28.170629370629367</v>
      </c>
      <c r="C62" s="112">
        <f>Power5/(krpm5*1000/60*2*PI())*1000</f>
        <v>76.85991281734958</v>
      </c>
      <c r="D62" s="37">
        <f>krpm5/krpmMax*vmax1</f>
        <v>35.92418270501102</v>
      </c>
      <c r="E62" s="37">
        <f>krpm5/krpmMax*vmax2</f>
        <v>50.423312301267714</v>
      </c>
      <c r="F62" s="37">
        <f>krpm5/krpmMax*vmax3</f>
        <v>63.53649568611753</v>
      </c>
      <c r="G62" s="37">
        <f>krpm5/krpmMax*vmax4</f>
        <v>76.02020598221688</v>
      </c>
      <c r="H62" s="37">
        <f>krpm5/krpmMax*vmax5</f>
        <v>85.10039725231499</v>
      </c>
      <c r="I62" s="44">
        <f>krpm5/krpmMax*vmax6</f>
        <v>91.42085115964873</v>
      </c>
      <c r="J62" s="25"/>
    </row>
    <row r="63" spans="1:10" ht="12.75">
      <c r="A63" s="11">
        <f>rpm6/1000</f>
        <v>4</v>
      </c>
      <c r="B63" s="111">
        <f>cPower6</f>
        <v>31.82237762237762</v>
      </c>
      <c r="C63" s="112">
        <f>Power6/(krpm6*1000/60*2*PI())*1000</f>
        <v>75.9703304930747</v>
      </c>
      <c r="D63" s="37">
        <f>krpm6/krpmMax*vmax1</f>
        <v>41.056208805726875</v>
      </c>
      <c r="E63" s="37">
        <f>krpm6/krpmMax*vmax2</f>
        <v>57.62664263002024</v>
      </c>
      <c r="F63" s="37">
        <f>krpm6/krpmMax*vmax3</f>
        <v>72.61313792699147</v>
      </c>
      <c r="G63" s="37">
        <f>krpm6/krpmMax*vmax4</f>
        <v>86.88023540824786</v>
      </c>
      <c r="H63" s="37">
        <f>krpm6/krpmMax*vmax5</f>
        <v>97.25759685978856</v>
      </c>
      <c r="I63" s="44">
        <f>krpm6/krpmMax*vmax6</f>
        <v>104.48097275388426</v>
      </c>
      <c r="J63" s="25"/>
    </row>
    <row r="64" spans="1:10" ht="12.75">
      <c r="A64" s="11">
        <f>rpm7/1000</f>
        <v>5</v>
      </c>
      <c r="B64" s="111">
        <f>cPower7</f>
        <v>50.08111888111888</v>
      </c>
      <c r="C64" s="112">
        <f>Power7/(krpm7*1000/60*2*PI())*1000</f>
        <v>95.64789150603505</v>
      </c>
      <c r="D64" s="37">
        <f>krpm7/krpmMax*vmax1</f>
        <v>51.3202610071586</v>
      </c>
      <c r="E64" s="37">
        <f>krpm7/krpmMax*vmax2</f>
        <v>72.0333032875253</v>
      </c>
      <c r="F64" s="37">
        <f>krpm7/krpmMax*vmax3</f>
        <v>90.76642240873933</v>
      </c>
      <c r="G64" s="37">
        <f>krpm7/krpmMax*vmax4</f>
        <v>108.60029426030981</v>
      </c>
      <c r="H64" s="37">
        <f>krpm7/krpmMax*vmax5</f>
        <v>121.57199607473571</v>
      </c>
      <c r="I64" s="44">
        <f>krpm7/krpmMax*vmax6</f>
        <v>130.60121594235534</v>
      </c>
      <c r="J64" s="25"/>
    </row>
    <row r="65" spans="1:10" ht="12.75">
      <c r="A65" s="11">
        <f>rpm8/1000</f>
        <v>6</v>
      </c>
      <c r="B65" s="111">
        <f>cPower8</f>
        <v>56.86293706293706</v>
      </c>
      <c r="C65" s="112">
        <f>Power8/(krpm8*1000/60*2*PI())*1000</f>
        <v>90.50017512289773</v>
      </c>
      <c r="D65" s="37">
        <f>krpm8/krpmMax*vmax1</f>
        <v>61.58431320859031</v>
      </c>
      <c r="E65" s="37">
        <f>krpm8/krpmMax*vmax2</f>
        <v>86.43996394503036</v>
      </c>
      <c r="F65" s="37">
        <f>krpm8/krpmMax*vmax3</f>
        <v>108.91970689048719</v>
      </c>
      <c r="G65" s="37">
        <f>krpm8/krpmMax*vmax4</f>
        <v>130.32035311237178</v>
      </c>
      <c r="H65" s="37">
        <f>krpm8/krpmMax*vmax5</f>
        <v>145.88639528968284</v>
      </c>
      <c r="I65" s="44">
        <f>krpm8/krpmMax*vmax6</f>
        <v>156.7214591308264</v>
      </c>
      <c r="J65" s="25"/>
    </row>
    <row r="66" spans="1:10" ht="12.75">
      <c r="A66" s="11">
        <f>rpm9/1000</f>
        <v>7</v>
      </c>
      <c r="B66" s="111">
        <f>cPower9</f>
        <v>62.60139860139861</v>
      </c>
      <c r="C66" s="112">
        <f>Power9/(krpm9*1000/60*2*PI())*1000</f>
        <v>85.39990313038844</v>
      </c>
      <c r="D66" s="37">
        <f>krpm9/krpmMax*vmax1</f>
        <v>71.84836541002204</v>
      </c>
      <c r="E66" s="37">
        <f>krpm9/krpmMax*vmax2</f>
        <v>100.84662460253543</v>
      </c>
      <c r="F66" s="37">
        <f>krpm9/krpmMax*vmax3</f>
        <v>127.07299137223507</v>
      </c>
      <c r="G66" s="37">
        <f>krpm9/krpmMax*vmax4</f>
        <v>152.04041196443376</v>
      </c>
      <c r="H66" s="37">
        <f>krpm9/krpmMax*vmax5</f>
        <v>170.20079450462998</v>
      </c>
      <c r="I66" s="44">
        <f>krpm9/krpmMax*vmax6</f>
        <v>182.84170231929747</v>
      </c>
      <c r="J66" s="25"/>
    </row>
    <row r="67" spans="1:10" ht="12.75">
      <c r="A67" s="11">
        <f>rpm10/1000</f>
        <v>8</v>
      </c>
      <c r="B67" s="111">
        <f>cPower10</f>
        <v>72.51328671328672</v>
      </c>
      <c r="C67" s="112">
        <f>Power10/(krpm10*1000/60*2*PI())*1000</f>
        <v>86.55636015194577</v>
      </c>
      <c r="D67" s="37">
        <f>krpm10/krpmMax*vmax1</f>
        <v>82.11241761145375</v>
      </c>
      <c r="E67" s="37">
        <f>krpm10/krpmMax*vmax2</f>
        <v>115.25328526004049</v>
      </c>
      <c r="F67" s="37">
        <f>krpm10/krpmMax*vmax3</f>
        <v>145.22627585398294</v>
      </c>
      <c r="G67" s="37">
        <f>krpm10/krpmMax*vmax4</f>
        <v>173.7604708164957</v>
      </c>
      <c r="H67" s="37">
        <f>krpm10/krpmMax*vmax5</f>
        <v>194.51519371957713</v>
      </c>
      <c r="I67" s="44">
        <f>krpm10/krpmMax*vmax6</f>
        <v>208.96194550776852</v>
      </c>
      <c r="J67" s="25"/>
    </row>
    <row r="68" spans="1:10" ht="12.75">
      <c r="A68" s="11">
        <f>rpm11/1000</f>
        <v>9</v>
      </c>
      <c r="B68" s="111">
        <f>cPower11</f>
        <v>81.38181818181818</v>
      </c>
      <c r="C68" s="112">
        <f>Power11/(krpm11*1000/60*2*PI())*1000</f>
        <v>86.3487909429483</v>
      </c>
      <c r="D68" s="37">
        <f>krpm11/krpmMax*vmax1</f>
        <v>92.37646981288546</v>
      </c>
      <c r="E68" s="37">
        <f>krpm11/krpmMax*vmax2</f>
        <v>129.65994591754554</v>
      </c>
      <c r="F68" s="37">
        <f>krpm11/krpmMax*vmax3</f>
        <v>163.3795603357308</v>
      </c>
      <c r="G68" s="37">
        <f>krpm11/krpmMax*vmax4</f>
        <v>195.48052966855766</v>
      </c>
      <c r="H68" s="37">
        <f>krpm11/krpmMax*vmax5</f>
        <v>218.82959293452424</v>
      </c>
      <c r="I68" s="44">
        <f>krpm11/krpmMax*vmax6</f>
        <v>235.0821886962396</v>
      </c>
      <c r="J68" s="25"/>
    </row>
    <row r="69" spans="1:10" ht="12.75">
      <c r="A69" s="11">
        <f>rpmMax/1000</f>
        <v>9.6</v>
      </c>
      <c r="B69" s="113">
        <f>cPowerRpmMax</f>
        <v>78.77342657342658</v>
      </c>
      <c r="C69" s="114">
        <f>PowerRpmMax/(krpmMax*1000/60*2*PI())*1000</f>
        <v>78.35737639654565</v>
      </c>
      <c r="D69" s="43">
        <f>vmax1</f>
        <v>98.5349011337445</v>
      </c>
      <c r="E69" s="43">
        <f>vmax2</f>
        <v>138.30394231204858</v>
      </c>
      <c r="F69" s="43">
        <f>vmax3</f>
        <v>174.2715310247795</v>
      </c>
      <c r="G69" s="43">
        <f>vmax4</f>
        <v>208.51256497979483</v>
      </c>
      <c r="H69" s="43">
        <f>vmax5</f>
        <v>233.41823246349253</v>
      </c>
      <c r="I69" s="45">
        <f>vmax6</f>
        <v>250.75433460932223</v>
      </c>
      <c r="J69" s="25"/>
    </row>
    <row r="70" spans="1:7" ht="12.75">
      <c r="A70" s="11"/>
      <c r="B70" s="25"/>
      <c r="C70" s="26"/>
      <c r="D70" s="2"/>
      <c r="F70" s="2"/>
      <c r="G70" s="2"/>
    </row>
    <row r="71" spans="1:5" ht="12.75">
      <c r="A71"/>
      <c r="B71"/>
      <c r="C71"/>
      <c r="D71"/>
      <c r="E71"/>
    </row>
    <row r="72" spans="1:15" s="4" customFormat="1" ht="12.75">
      <c r="A72" s="46" t="s">
        <v>88</v>
      </c>
      <c r="B72" s="47"/>
      <c r="C72" s="47"/>
      <c r="D72" s="47"/>
      <c r="E72" s="47"/>
      <c r="F72" s="59"/>
      <c r="G72" s="59"/>
      <c r="H72" s="59"/>
      <c r="I72" s="59"/>
      <c r="J72" s="59"/>
      <c r="K72" s="59"/>
      <c r="L72" s="59"/>
      <c r="M72" s="59"/>
      <c r="N72" s="59"/>
      <c r="O72" s="64"/>
    </row>
    <row r="73" spans="1:15" s="4" customFormat="1" ht="12.75">
      <c r="A73" s="104" t="s">
        <v>40</v>
      </c>
      <c r="B73" s="51">
        <v>1</v>
      </c>
      <c r="C73" s="51"/>
      <c r="D73" s="51">
        <v>2</v>
      </c>
      <c r="E73" s="51"/>
      <c r="F73" s="61">
        <v>3</v>
      </c>
      <c r="G73" s="61"/>
      <c r="H73" s="61">
        <v>4</v>
      </c>
      <c r="I73" s="61"/>
      <c r="J73" s="61">
        <v>5</v>
      </c>
      <c r="K73" s="61"/>
      <c r="L73" s="61">
        <v>6</v>
      </c>
      <c r="M73" s="61"/>
      <c r="N73" s="61"/>
      <c r="O73" s="62"/>
    </row>
    <row r="74" spans="1:15" s="4" customFormat="1" ht="12.75">
      <c r="A74" s="104" t="s">
        <v>7</v>
      </c>
      <c r="B74" s="51" t="s">
        <v>1</v>
      </c>
      <c r="C74" s="51" t="s">
        <v>14</v>
      </c>
      <c r="D74" s="51" t="s">
        <v>1</v>
      </c>
      <c r="E74" s="51" t="s">
        <v>14</v>
      </c>
      <c r="F74" s="51" t="s">
        <v>1</v>
      </c>
      <c r="G74" s="51" t="s">
        <v>14</v>
      </c>
      <c r="H74" s="51" t="s">
        <v>1</v>
      </c>
      <c r="I74" s="51" t="s">
        <v>14</v>
      </c>
      <c r="J74" s="51" t="s">
        <v>1</v>
      </c>
      <c r="K74" s="51" t="s">
        <v>14</v>
      </c>
      <c r="L74" s="51" t="s">
        <v>1</v>
      </c>
      <c r="M74" s="51" t="s">
        <v>14</v>
      </c>
      <c r="N74" s="61"/>
      <c r="O74" s="62"/>
    </row>
    <row r="75" spans="1:15" s="4" customFormat="1" ht="12.75">
      <c r="A75" s="104">
        <f>krpm0</f>
        <v>0</v>
      </c>
      <c r="B75" s="82">
        <f>krpm0/krpmMax*vmax1</f>
        <v>0</v>
      </c>
      <c r="C75" s="82"/>
      <c r="D75" s="82">
        <f>krpm0/krpmMax*vmax2</f>
        <v>0</v>
      </c>
      <c r="E75" s="82"/>
      <c r="F75" s="82">
        <f>krpm0/krpmMax*vmax3</f>
        <v>0</v>
      </c>
      <c r="G75" s="82"/>
      <c r="H75" s="82">
        <f>krpm0/krpmMax*vmax4</f>
        <v>0</v>
      </c>
      <c r="I75" s="82"/>
      <c r="J75" s="82">
        <f>krpm0/krpmMax*vmax5</f>
        <v>0</v>
      </c>
      <c r="K75" s="82"/>
      <c r="L75" s="82">
        <f>krpm0/krpmMax*vmax6</f>
        <v>0</v>
      </c>
      <c r="M75" s="82"/>
      <c r="N75" s="61"/>
      <c r="O75" s="62"/>
    </row>
    <row r="76" spans="1:15" ht="12.75">
      <c r="A76" s="50">
        <f>krpm1</f>
        <v>0</v>
      </c>
      <c r="B76" s="82">
        <f>krpm1/krpmMax*vmax1</f>
        <v>0</v>
      </c>
      <c r="C76" s="82"/>
      <c r="D76" s="82">
        <f>krpm1/krpmMax*vmax2</f>
        <v>0</v>
      </c>
      <c r="E76" s="82"/>
      <c r="F76" s="82">
        <f>krpm1/krpmMax*vmax3</f>
        <v>0</v>
      </c>
      <c r="G76" s="82"/>
      <c r="H76" s="82">
        <f>krpm1/krpmMax*vmax4</f>
        <v>0</v>
      </c>
      <c r="I76" s="82"/>
      <c r="J76" s="82">
        <f>krpm1/krpmMax*vmax5</f>
        <v>0</v>
      </c>
      <c r="K76" s="82"/>
      <c r="L76" s="82">
        <f>krpm1/krpmMax*vmax6</f>
        <v>0</v>
      </c>
      <c r="M76" s="82"/>
      <c r="N76" s="24"/>
      <c r="O76" s="72"/>
    </row>
    <row r="77" spans="1:15" ht="12.75">
      <c r="A77" s="50">
        <f>krpm2</f>
        <v>0</v>
      </c>
      <c r="B77" s="82">
        <f>krpm2/krpmMax*vmax1</f>
        <v>0</v>
      </c>
      <c r="C77" s="82"/>
      <c r="D77" s="82">
        <f>krpm2/krpmMax*vmax2</f>
        <v>0</v>
      </c>
      <c r="E77" s="82"/>
      <c r="F77" s="82">
        <f>krpm2/krpmMax*vmax3</f>
        <v>0</v>
      </c>
      <c r="G77" s="82"/>
      <c r="H77" s="82">
        <f>krpm2/krpmMax*vmax4</f>
        <v>0</v>
      </c>
      <c r="I77" s="82"/>
      <c r="J77" s="82">
        <f>krpm2/krpmMax*vmax5</f>
        <v>0</v>
      </c>
      <c r="K77" s="82"/>
      <c r="L77" s="82">
        <f>krpm2/krpmMax*vmax6</f>
        <v>0</v>
      </c>
      <c r="M77" s="82"/>
      <c r="N77" s="24"/>
      <c r="O77" s="72"/>
    </row>
    <row r="78" spans="1:15" ht="12.75">
      <c r="A78" s="50">
        <f>krpm3</f>
        <v>0</v>
      </c>
      <c r="B78" s="82">
        <f>krpm3/krpmMax*vmax1</f>
        <v>0</v>
      </c>
      <c r="C78" s="78"/>
      <c r="D78" s="78">
        <f>krpm3/krpmMax*vmax2</f>
        <v>0</v>
      </c>
      <c r="E78" s="78"/>
      <c r="F78" s="78">
        <f>krpm3/krpmMax*vmax3</f>
        <v>0</v>
      </c>
      <c r="G78" s="78"/>
      <c r="H78" s="78">
        <f>krpm3/krpmMax*vmax4</f>
        <v>0</v>
      </c>
      <c r="I78" s="78"/>
      <c r="J78" s="78">
        <f>krpm3/krpmMax*vmax5</f>
        <v>0</v>
      </c>
      <c r="K78" s="78"/>
      <c r="L78" s="78">
        <f>krpm3/krpmMax*vmax6</f>
        <v>0</v>
      </c>
      <c r="M78" s="78"/>
      <c r="N78" s="24"/>
      <c r="O78" s="72"/>
    </row>
    <row r="79" spans="1:15" ht="12.75">
      <c r="A79" s="50">
        <f>krpm4</f>
        <v>0</v>
      </c>
      <c r="B79" s="82">
        <f>krpm4/krpmMax*vmax1</f>
        <v>0</v>
      </c>
      <c r="C79" s="78"/>
      <c r="D79" s="78">
        <f>krpm4/krpmMax*vmax2</f>
        <v>0</v>
      </c>
      <c r="E79" s="78"/>
      <c r="F79" s="78">
        <f>krpm4/krpmMax*vmax3</f>
        <v>0</v>
      </c>
      <c r="G79" s="78"/>
      <c r="H79" s="78">
        <f>krpm4/krpmMax*vmax4</f>
        <v>0</v>
      </c>
      <c r="I79" s="78"/>
      <c r="J79" s="78">
        <f>krpm4/krpmMax*vmax5</f>
        <v>0</v>
      </c>
      <c r="K79" s="78"/>
      <c r="L79" s="78">
        <f>krpm4/krpmMax*vmax6</f>
        <v>0</v>
      </c>
      <c r="M79" s="78"/>
      <c r="N79" s="24"/>
      <c r="O79" s="72"/>
    </row>
    <row r="80" spans="1:15" ht="12.75">
      <c r="A80" s="50">
        <f>krpm5</f>
        <v>3.5</v>
      </c>
      <c r="B80" s="82">
        <f>krpm5/krpmMax*vmax1</f>
        <v>35.92418270501102</v>
      </c>
      <c r="C80" s="78">
        <f>Torque5*Ratio1*efficiency/r_wheel</f>
        <v>2360.2017020715566</v>
      </c>
      <c r="D80" s="78">
        <f>krpm5/krpmMax*vmax2</f>
        <v>50.423312301267714</v>
      </c>
      <c r="E80" s="78">
        <f>Torque5*Ratio2*efficiency/r_wheel</f>
        <v>1681.5300958276173</v>
      </c>
      <c r="F80" s="78">
        <f>krpm5/krpmMax*vmax3</f>
        <v>63.53649568611753</v>
      </c>
      <c r="G80" s="78">
        <f>Torque5*Ratio3*efficiency/r_wheel</f>
        <v>1334.4821153619664</v>
      </c>
      <c r="H80" s="78">
        <f>krpm5/krpmMax*vmax4</f>
        <v>76.02020598221688</v>
      </c>
      <c r="I80" s="78">
        <f>Torque5*Ratio4*efficiency/r_wheel</f>
        <v>1115.3392189667416</v>
      </c>
      <c r="J80" s="78">
        <f>krpm5/krpmMax*vmax5</f>
        <v>85.10039725231499</v>
      </c>
      <c r="K80" s="78">
        <f>Torque5*Ratio5*efficiency/r_wheel</f>
        <v>996.3328010621017</v>
      </c>
      <c r="L80" s="78">
        <f>krpm5/krpmMax*vmax6</f>
        <v>91.42085115964873</v>
      </c>
      <c r="M80" s="78">
        <f>Torque5*Ratio6*efficiency/r_wheel</f>
        <v>927.4505333343513</v>
      </c>
      <c r="N80" s="24"/>
      <c r="O80" s="72"/>
    </row>
    <row r="81" spans="1:15" ht="12.75">
      <c r="A81" s="50">
        <f>krpm6</f>
        <v>4</v>
      </c>
      <c r="B81" s="82">
        <f>krpm6/krpmMax*vmax1</f>
        <v>41.056208805726875</v>
      </c>
      <c r="C81" s="78">
        <f>Torque6*Ratio1*efficiency/r_wheel</f>
        <v>2332.8845527420244</v>
      </c>
      <c r="D81" s="78">
        <f>krpm6/krpmMax*vmax2</f>
        <v>57.62664263002024</v>
      </c>
      <c r="E81" s="78">
        <f>Torque6*Ratio2*efficiency/r_wheel</f>
        <v>1662.0679419407236</v>
      </c>
      <c r="F81" s="78">
        <f>krpm6/krpmMax*vmax3</f>
        <v>72.61313792699147</v>
      </c>
      <c r="G81" s="78">
        <f>Torque6*Ratio3*efficiency/r_wheel</f>
        <v>1319.0367205082398</v>
      </c>
      <c r="H81" s="78">
        <f>krpm6/krpmMax*vmax4</f>
        <v>86.88023540824786</v>
      </c>
      <c r="I81" s="78">
        <f>Torque6*Ratio4*efficiency/r_wheel</f>
        <v>1102.4302002287002</v>
      </c>
      <c r="J81" s="78">
        <f>krpm6/krpmMax*vmax5</f>
        <v>97.25759685978856</v>
      </c>
      <c r="K81" s="78">
        <f>Torque6*Ratio5*efficiency/r_wheel</f>
        <v>984.8011714201791</v>
      </c>
      <c r="L81" s="78">
        <f>krpm6/krpmMax*vmax6</f>
        <v>104.48097275388426</v>
      </c>
      <c r="M81" s="78">
        <f>Torque6*Ratio6*efficiency/r_wheel</f>
        <v>916.7161521615001</v>
      </c>
      <c r="N81" s="24"/>
      <c r="O81" s="72"/>
    </row>
    <row r="82" spans="1:15" ht="12.75">
      <c r="A82" s="50">
        <f>krpm7</f>
        <v>5</v>
      </c>
      <c r="B82" s="82">
        <f>krpm7/krpmMax*vmax1</f>
        <v>51.3202610071586</v>
      </c>
      <c r="C82" s="78">
        <f>Torque7*Ratio1*efficiency/r_wheel</f>
        <v>2937.1398959112707</v>
      </c>
      <c r="D82" s="78">
        <f>krpm7/krpmMax*vmax2</f>
        <v>72.0333032875253</v>
      </c>
      <c r="E82" s="78">
        <f>Torque7*Ratio2*efficiency/r_wheel</f>
        <v>2092.570785918813</v>
      </c>
      <c r="F82" s="78">
        <f>krpm7/krpmMax*vmax3</f>
        <v>90.76642240873933</v>
      </c>
      <c r="G82" s="78">
        <f>Torque7*Ratio3*efficiency/r_wheel</f>
        <v>1660.6888546726693</v>
      </c>
      <c r="H82" s="78">
        <f>krpm7/krpmMax*vmax4</f>
        <v>108.60029426030981</v>
      </c>
      <c r="I82" s="78">
        <f>Torque7*Ratio4*efficiency/r_wheel</f>
        <v>1387.9776947141672</v>
      </c>
      <c r="J82" s="78">
        <f>krpm7/krpmMax*vmax5</f>
        <v>121.57199607473571</v>
      </c>
      <c r="K82" s="78">
        <f>Torque7*Ratio5*efficiency/r_wheel</f>
        <v>1239.8808190995044</v>
      </c>
      <c r="L82" s="78">
        <f>krpm7/krpmMax*vmax6</f>
        <v>130.60121594235534</v>
      </c>
      <c r="M82" s="78">
        <f>Torque7*Ratio6*efficiency/r_wheel</f>
        <v>1154.1606637049708</v>
      </c>
      <c r="N82" s="24"/>
      <c r="O82" s="72"/>
    </row>
    <row r="83" spans="1:15" ht="12.75">
      <c r="A83" s="50">
        <f>krpm8</f>
        <v>6</v>
      </c>
      <c r="B83" s="82">
        <f>krpm8/krpmMax*vmax1</f>
        <v>61.58431320859031</v>
      </c>
      <c r="C83" s="78">
        <f>Torque8*Ratio1*efficiency/r_wheel</f>
        <v>2779.064658457712</v>
      </c>
      <c r="D83" s="78">
        <f>krpm8/krpmMax*vmax2</f>
        <v>86.43996394503036</v>
      </c>
      <c r="E83" s="78">
        <f>Torque8*Ratio2*efficiency/r_wheel</f>
        <v>1979.9497887599875</v>
      </c>
      <c r="F83" s="78">
        <f>krpm8/krpmMax*vmax3</f>
        <v>108.91970689048719</v>
      </c>
      <c r="G83" s="78">
        <f>Torque8*Ratio3*efficiency/r_wheel</f>
        <v>1571.3115031191057</v>
      </c>
      <c r="H83" s="78">
        <f>krpm8/krpmMax*vmax4</f>
        <v>130.32035311237178</v>
      </c>
      <c r="I83" s="78">
        <f>Torque8*Ratio4*efficiency/r_wheel</f>
        <v>1313.27750628337</v>
      </c>
      <c r="J83" s="78">
        <f>krpm8/krpmMax*vmax5</f>
        <v>145.88639528968284</v>
      </c>
      <c r="K83" s="78">
        <f>Torque8*Ratio5*efficiency/r_wheel</f>
        <v>1173.1511222382462</v>
      </c>
      <c r="L83" s="78">
        <f>krpm8/krpmMax*vmax6</f>
        <v>156.7214591308264</v>
      </c>
      <c r="M83" s="78">
        <f>Torque8*Ratio6*efficiency/r_wheel</f>
        <v>1092.0443779847378</v>
      </c>
      <c r="N83" s="24"/>
      <c r="O83" s="72"/>
    </row>
    <row r="84" spans="1:15" ht="12.75">
      <c r="A84" s="50">
        <f>krpm9</f>
        <v>7</v>
      </c>
      <c r="B84" s="78">
        <f>krpm9/krpmMax*vmax1</f>
        <v>71.84836541002204</v>
      </c>
      <c r="C84" s="78">
        <f>Torque9*Ratio1*efficiency/r_wheel</f>
        <v>2622.4463356350634</v>
      </c>
      <c r="D84" s="99">
        <f>krpm9/krpmMax*vmax2</f>
        <v>100.84662460253543</v>
      </c>
      <c r="E84" s="99">
        <f>Torque9*Ratio2*efficiency/r_wheel</f>
        <v>1868.366773141797</v>
      </c>
      <c r="F84" s="78">
        <f>krpm9/krpmMax*vmax3</f>
        <v>127.07299137223507</v>
      </c>
      <c r="G84" s="78">
        <f>Torque9*Ratio3*efficiency/r_wheel</f>
        <v>1482.7579059577408</v>
      </c>
      <c r="H84" s="78">
        <f>krpm9/krpmMax*vmax4</f>
        <v>152.04041196443376</v>
      </c>
      <c r="I84" s="78">
        <f>Torque9*Ratio4*efficiency/r_wheel</f>
        <v>1239.2657988519352</v>
      </c>
      <c r="J84" s="78">
        <f>krpm9/krpmMax*vmax5</f>
        <v>170.20079450462998</v>
      </c>
      <c r="K84" s="78">
        <f>Torque9*Ratio5*efficiency/r_wheel</f>
        <v>1107.0364456245577</v>
      </c>
      <c r="L84" s="78">
        <f>krpm9/krpmMax*vmax6</f>
        <v>182.84170231929747</v>
      </c>
      <c r="M84" s="78">
        <f>Torque9*Ratio6*efficiency/r_wheel</f>
        <v>1030.500592593724</v>
      </c>
      <c r="N84" s="24" t="s">
        <v>98</v>
      </c>
      <c r="O84" s="72"/>
    </row>
    <row r="85" spans="1:15" ht="12.75">
      <c r="A85" s="50">
        <f>krpm10</f>
        <v>8</v>
      </c>
      <c r="B85" s="78">
        <f>krpm10/krpmMax*vmax1</f>
        <v>82.11241761145375</v>
      </c>
      <c r="C85" s="78">
        <f>Torque10*Ratio1*efficiency/r_wheel</f>
        <v>2657.958629763454</v>
      </c>
      <c r="D85" s="78">
        <f>krpm10/krpmMax*vmax2</f>
        <v>115.25328526004049</v>
      </c>
      <c r="E85" s="78">
        <f>Torque10*Ratio2*efficiency/r_wheel</f>
        <v>1893.667573194759</v>
      </c>
      <c r="F85" s="99">
        <f>krpm10/krpmMax*vmax3</f>
        <v>145.22627585398294</v>
      </c>
      <c r="G85" s="99">
        <f>Torque10*Ratio3*efficiency/r_wheel</f>
        <v>1502.8369192675848</v>
      </c>
      <c r="H85" s="78">
        <f>krpm10/krpmMax*vmax4</f>
        <v>173.7604708164957</v>
      </c>
      <c r="I85" s="78">
        <f>Torque10*Ratio4*efficiency/r_wheel</f>
        <v>1256.0475232113881</v>
      </c>
      <c r="J85" s="78">
        <f>krpm10/krpmMax*vmax5</f>
        <v>194.51519371957713</v>
      </c>
      <c r="K85" s="78">
        <f>Torque10*Ratio5*efficiency/r_wheel</f>
        <v>1122.0275641590567</v>
      </c>
      <c r="L85" s="78">
        <f>krpm10/krpmMax*vmax6</f>
        <v>208.96194550776852</v>
      </c>
      <c r="M85" s="78">
        <f>Torque10*Ratio6*efficiency/r_wheel</f>
        <v>1044.4552881184304</v>
      </c>
      <c r="N85" s="24"/>
      <c r="O85" s="72"/>
    </row>
    <row r="86" spans="1:15" ht="12.75">
      <c r="A86" s="50">
        <f>krpm11</f>
        <v>9</v>
      </c>
      <c r="B86" s="78">
        <f>krpm11/krpmMax*vmax1</f>
        <v>92.37646981288546</v>
      </c>
      <c r="C86" s="78">
        <f>Torque11*Ratio1*efficiency/r_wheel</f>
        <v>2651.5846282532298</v>
      </c>
      <c r="D86" s="78">
        <f>krpm11/krpmMax*vmax2</f>
        <v>129.65994591754554</v>
      </c>
      <c r="E86" s="78">
        <f>Torque11*Ratio2*efficiency/r_wheel</f>
        <v>1889.1264039544837</v>
      </c>
      <c r="F86" s="78">
        <f>krpm11/krpmMax*vmax3</f>
        <v>163.3795603357308</v>
      </c>
      <c r="G86" s="78">
        <f>Torque11*Ratio3*efficiency/r_wheel</f>
        <v>1499.2329938017153</v>
      </c>
      <c r="H86" s="99">
        <f>krpm11/krpmMax*vmax4</f>
        <v>195.48052966855766</v>
      </c>
      <c r="I86" s="141">
        <f>Torque11*Ratio4*efficiency/r_wheel</f>
        <v>1253.0354188391786</v>
      </c>
      <c r="J86" s="99">
        <f>krpm11/krpmMax*vmax5</f>
        <v>218.82959293452424</v>
      </c>
      <c r="K86" s="141">
        <f>Torque11*Ratio5*efficiency/r_wheel</f>
        <v>1119.3368505759415</v>
      </c>
      <c r="L86" s="99">
        <f>krpm11/krpmMax*vmax6</f>
        <v>235.0821886962396</v>
      </c>
      <c r="M86" s="99">
        <f>Torque11*Ratio6*efficiency/r_wheel</f>
        <v>1041.9505991780984</v>
      </c>
      <c r="N86" s="24"/>
      <c r="O86" s="72"/>
    </row>
    <row r="87" spans="1:15" ht="12.75">
      <c r="A87" s="105">
        <f>krpmMax</f>
        <v>9.6</v>
      </c>
      <c r="B87" s="106">
        <f>vmax1</f>
        <v>98.5349011337445</v>
      </c>
      <c r="C87" s="106">
        <f>TorqueRpmMax*Ratio1*efficiency/r_wheel</f>
        <v>2406.185570109602</v>
      </c>
      <c r="D87" s="106">
        <f>vmax2</f>
        <v>138.30394231204858</v>
      </c>
      <c r="E87" s="106">
        <f>TorqueRpmMax*Ratio2*efficiency/r_wheel</f>
        <v>1714.2913882038888</v>
      </c>
      <c r="F87" s="106">
        <f>vmax3</f>
        <v>174.2715310247795</v>
      </c>
      <c r="G87" s="106">
        <f>TorqueRpmMax*Ratio3*efficiency/r_wheel</f>
        <v>1360.4818633657396</v>
      </c>
      <c r="H87" s="106">
        <f>vmax4</f>
        <v>208.51256497979483</v>
      </c>
      <c r="I87" s="106">
        <f>TorqueRpmMax*Ratio4*efficiency/r_wheel</f>
        <v>1137.0694005091107</v>
      </c>
      <c r="J87" s="106">
        <f>vmax5</f>
        <v>233.41823246349253</v>
      </c>
      <c r="K87" s="106">
        <f>TorqueRpmMax*Ratio5*efficiency/r_wheel</f>
        <v>1015.7443776260048</v>
      </c>
      <c r="L87" s="106">
        <f>vmax6</f>
        <v>250.75433460932223</v>
      </c>
      <c r="M87" s="79">
        <f>TorqueRpmMax*Ratio6*efficiency/r_wheel</f>
        <v>945.5200749753179</v>
      </c>
      <c r="N87" s="107" t="s">
        <v>99</v>
      </c>
      <c r="O87" s="74"/>
    </row>
    <row r="88" spans="1:13" ht="12.75">
      <c r="A88" s="4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7"/>
      <c r="M88" s="7"/>
    </row>
    <row r="89" spans="2:11" s="4" customFormat="1" ht="12.75">
      <c r="B89" s="63" t="s">
        <v>44</v>
      </c>
      <c r="C89" s="59"/>
      <c r="D89" s="64"/>
      <c r="F89" s="63" t="s">
        <v>97</v>
      </c>
      <c r="G89" s="64"/>
      <c r="I89" s="63" t="s">
        <v>103</v>
      </c>
      <c r="J89" s="59"/>
      <c r="K89" s="64"/>
    </row>
    <row r="90" spans="1:11" s="4" customFormat="1" ht="12.75">
      <c r="A90" s="9" t="s">
        <v>1</v>
      </c>
      <c r="B90" s="65" t="s">
        <v>41</v>
      </c>
      <c r="C90" s="61" t="s">
        <v>42</v>
      </c>
      <c r="D90" s="62" t="s">
        <v>43</v>
      </c>
      <c r="F90" s="65"/>
      <c r="G90" s="62"/>
      <c r="I90" s="65" t="s">
        <v>105</v>
      </c>
      <c r="J90" s="61" t="s">
        <v>104</v>
      </c>
      <c r="K90" s="62" t="s">
        <v>106</v>
      </c>
    </row>
    <row r="91" spans="1:11" ht="12.75">
      <c r="A91" s="28">
        <v>0</v>
      </c>
      <c r="B91" s="75">
        <f aca="true" t="shared" si="0" ref="B91:B103">M_tot*9.81*SIN(RADIANS(incline))</f>
        <v>0</v>
      </c>
      <c r="C91" s="76">
        <f>Cd*A*POWER(krpm0/krpmMax*vmax6mps3,2)</f>
        <v>0</v>
      </c>
      <c r="D91" s="77">
        <f aca="true" t="shared" si="1" ref="D91:D103">SUM(B91:C91)</f>
        <v>0</v>
      </c>
      <c r="F91" s="70"/>
      <c r="G91" s="71"/>
      <c r="H91" s="7"/>
      <c r="I91" s="66">
        <f>B57</f>
        <v>0</v>
      </c>
      <c r="J91" s="67">
        <f>C57</f>
        <v>0</v>
      </c>
      <c r="K91" s="44">
        <f>J98</f>
        <v>50.08111888111888</v>
      </c>
    </row>
    <row r="92" spans="1:11" ht="12.75">
      <c r="A92" s="28">
        <f>krpm1/krpmMax*vmax6</f>
        <v>0</v>
      </c>
      <c r="B92" s="75">
        <f t="shared" si="0"/>
        <v>0</v>
      </c>
      <c r="C92" s="78">
        <f>Cd*A*POWER(krpm1/krpmMax*vmax6mps3,2)</f>
        <v>0</v>
      </c>
      <c r="D92" s="77">
        <f t="shared" si="1"/>
        <v>0</v>
      </c>
      <c r="F92" s="70"/>
      <c r="G92" s="72"/>
      <c r="I92" s="66">
        <v>0</v>
      </c>
      <c r="J92" s="67">
        <f>Power1</f>
        <v>0</v>
      </c>
      <c r="K92" s="44">
        <f>K91</f>
        <v>50.08111888111888</v>
      </c>
    </row>
    <row r="93" spans="1:12" ht="12.75">
      <c r="A93" s="28">
        <f>krpm2/krpmMax*vmax6</f>
        <v>0</v>
      </c>
      <c r="B93" s="75">
        <f t="shared" si="0"/>
        <v>0</v>
      </c>
      <c r="C93" s="78">
        <f>Cd*A*POWER(krpm2/krpmMax*vmax6mps3,2)</f>
        <v>0</v>
      </c>
      <c r="D93" s="77">
        <f t="shared" si="1"/>
        <v>0</v>
      </c>
      <c r="F93" s="70"/>
      <c r="G93" s="72"/>
      <c r="I93" s="66">
        <v>0</v>
      </c>
      <c r="J93" s="67">
        <f>Power2</f>
        <v>0</v>
      </c>
      <c r="K93" s="44">
        <f aca="true" t="shared" si="2" ref="K93:K103">K92</f>
        <v>50.08111888111888</v>
      </c>
      <c r="L93" s="3"/>
    </row>
    <row r="94" spans="1:11" ht="12.75">
      <c r="A94" s="28">
        <f>2*A95/3</f>
        <v>30.473617053216245</v>
      </c>
      <c r="B94" s="75">
        <f t="shared" si="0"/>
        <v>0</v>
      </c>
      <c r="C94" s="78">
        <f>Cd*A*POWER(2/3*krpm4/krpmMax*vmax6mps3,2)</f>
        <v>0</v>
      </c>
      <c r="D94" s="77">
        <f t="shared" si="1"/>
        <v>0</v>
      </c>
      <c r="F94" s="70"/>
      <c r="G94" s="72"/>
      <c r="I94" s="66">
        <v>0</v>
      </c>
      <c r="J94" s="67">
        <f>Power3</f>
        <v>0</v>
      </c>
      <c r="K94" s="44">
        <f t="shared" si="2"/>
        <v>50.08111888111888</v>
      </c>
    </row>
    <row r="95" spans="1:11" ht="12.75">
      <c r="A95" s="28">
        <f>A96/2</f>
        <v>45.71042557982437</v>
      </c>
      <c r="B95" s="75">
        <f t="shared" si="0"/>
        <v>0</v>
      </c>
      <c r="C95" s="78">
        <f>Cd*A*POWER(0.5*krpm5/krpmMax*vmax6mps3,2)</f>
        <v>32.244490843960826</v>
      </c>
      <c r="D95" s="77">
        <f t="shared" si="1"/>
        <v>32.244490843960826</v>
      </c>
      <c r="F95" s="70"/>
      <c r="G95" s="72"/>
      <c r="I95" s="66">
        <v>0</v>
      </c>
      <c r="J95" s="67">
        <f>Power4</f>
        <v>0</v>
      </c>
      <c r="K95" s="44">
        <f t="shared" si="2"/>
        <v>50.08111888111888</v>
      </c>
    </row>
    <row r="96" spans="1:12" ht="12.75">
      <c r="A96" s="28">
        <f>krpm5/krpmMax*vmax6</f>
        <v>91.42085115964873</v>
      </c>
      <c r="B96" s="75">
        <f t="shared" si="0"/>
        <v>0</v>
      </c>
      <c r="C96" s="78">
        <f>Cd*A*POWER(krpm5/krpmMax*vmax6mps3,2)</f>
        <v>128.9779633758433</v>
      </c>
      <c r="D96" s="77">
        <f t="shared" si="1"/>
        <v>128.9779633758433</v>
      </c>
      <c r="F96" s="70">
        <f aca="true" t="shared" si="3" ref="F96:F103">MAX($D$115:$D$138)*1000/(A96*1000/3600)</f>
        <v>2679.301540743682</v>
      </c>
      <c r="G96" s="72"/>
      <c r="I96" s="66">
        <f>Torque5</f>
        <v>76.85991281734958</v>
      </c>
      <c r="J96" s="67">
        <f>Power5</f>
        <v>28.170629370629367</v>
      </c>
      <c r="K96" s="44">
        <f t="shared" si="2"/>
        <v>50.08111888111888</v>
      </c>
      <c r="L96" s="3"/>
    </row>
    <row r="97" spans="1:11" ht="12.75">
      <c r="A97" s="28">
        <f>krpm6/krpmMax*vmax6</f>
        <v>104.48097275388426</v>
      </c>
      <c r="B97" s="75">
        <f t="shared" si="0"/>
        <v>0</v>
      </c>
      <c r="C97" s="78">
        <f>Cd*A*POWER(krpm6/krpmMax*vmax6mps3,2)</f>
        <v>168.46101338885654</v>
      </c>
      <c r="D97" s="77">
        <f t="shared" si="1"/>
        <v>168.46101338885654</v>
      </c>
      <c r="F97" s="70">
        <f t="shared" si="3"/>
        <v>2344.388848150722</v>
      </c>
      <c r="G97" s="72"/>
      <c r="I97" s="66">
        <f>Torque6</f>
        <v>75.9703304930747</v>
      </c>
      <c r="J97" s="67">
        <f>Power6</f>
        <v>31.82237762237762</v>
      </c>
      <c r="K97" s="44">
        <f t="shared" si="2"/>
        <v>50.08111888111888</v>
      </c>
    </row>
    <row r="98" spans="1:11" ht="12.75">
      <c r="A98" s="28">
        <f>krpm7/krpmMax*vmax6</f>
        <v>130.60121594235534</v>
      </c>
      <c r="B98" s="75">
        <f t="shared" si="0"/>
        <v>0</v>
      </c>
      <c r="C98" s="78">
        <f>Cd*A*POWER(krpm7/krpmMax*vmax6mps3,2)</f>
        <v>263.22033342008837</v>
      </c>
      <c r="D98" s="77">
        <f t="shared" si="1"/>
        <v>263.22033342008837</v>
      </c>
      <c r="F98" s="70">
        <f t="shared" si="3"/>
        <v>1875.5110785205773</v>
      </c>
      <c r="G98" s="72"/>
      <c r="I98" s="66">
        <f>Torque7</f>
        <v>95.64789150603505</v>
      </c>
      <c r="J98" s="67">
        <f>Power7</f>
        <v>50.08111888111888</v>
      </c>
      <c r="K98" s="44">
        <f t="shared" si="2"/>
        <v>50.08111888111888</v>
      </c>
    </row>
    <row r="99" spans="1:11" ht="12.75">
      <c r="A99" s="28">
        <f>krpm8/krpmMax*vmax6</f>
        <v>156.7214591308264</v>
      </c>
      <c r="B99" s="75">
        <f t="shared" si="0"/>
        <v>0</v>
      </c>
      <c r="C99" s="78">
        <f>Cd*A*POWER(krpm8/krpmMax*vmax6mps3,2)</f>
        <v>379.0372801249272</v>
      </c>
      <c r="D99" s="77">
        <f t="shared" si="1"/>
        <v>379.0372801249272</v>
      </c>
      <c r="F99" s="70">
        <f t="shared" si="3"/>
        <v>1562.925898767148</v>
      </c>
      <c r="G99" s="72"/>
      <c r="I99" s="66">
        <f>Torque8</f>
        <v>90.50017512289773</v>
      </c>
      <c r="J99" s="67">
        <f>Power8</f>
        <v>56.86293706293706</v>
      </c>
      <c r="K99" s="44">
        <f t="shared" si="2"/>
        <v>50.08111888111888</v>
      </c>
    </row>
    <row r="100" spans="1:11" ht="12.75">
      <c r="A100" s="28">
        <f>krpm9/krpmMax*vmax6</f>
        <v>182.84170231929747</v>
      </c>
      <c r="B100" s="75">
        <f t="shared" si="0"/>
        <v>0</v>
      </c>
      <c r="C100" s="78">
        <f>Cd*A*POWER(krpm9/krpmMax*vmax6mps3,2)</f>
        <v>515.9118535033732</v>
      </c>
      <c r="D100" s="77">
        <f t="shared" si="1"/>
        <v>515.9118535033732</v>
      </c>
      <c r="F100" s="70">
        <f t="shared" si="3"/>
        <v>1339.650770371841</v>
      </c>
      <c r="G100" s="72"/>
      <c r="I100" s="66">
        <f>Torque9</f>
        <v>85.39990313038844</v>
      </c>
      <c r="J100" s="67">
        <f>Power9</f>
        <v>62.60139860139861</v>
      </c>
      <c r="K100" s="44">
        <f t="shared" si="2"/>
        <v>50.08111888111888</v>
      </c>
    </row>
    <row r="101" spans="1:11" ht="12.75">
      <c r="A101" s="28">
        <f>krpm10/krpmMax*vmax6</f>
        <v>208.96194550776852</v>
      </c>
      <c r="B101" s="75">
        <f t="shared" si="0"/>
        <v>0</v>
      </c>
      <c r="C101" s="78">
        <f>Cd*A*POWER(krpm10/krpmMax*vmax6mps3,2)</f>
        <v>673.8440535554262</v>
      </c>
      <c r="D101" s="77">
        <f t="shared" si="1"/>
        <v>673.8440535554262</v>
      </c>
      <c r="F101" s="70">
        <f t="shared" si="3"/>
        <v>1172.194424075361</v>
      </c>
      <c r="G101" s="72"/>
      <c r="I101" s="66">
        <f>Torque10</f>
        <v>86.55636015194577</v>
      </c>
      <c r="J101" s="67">
        <f>Power10</f>
        <v>72.51328671328672</v>
      </c>
      <c r="K101" s="44">
        <f t="shared" si="2"/>
        <v>50.08111888111888</v>
      </c>
    </row>
    <row r="102" spans="1:11" ht="12.75">
      <c r="A102" s="28">
        <f>krpm11/krpmMax*vmax6</f>
        <v>235.0821886962396</v>
      </c>
      <c r="B102" s="75">
        <f t="shared" si="0"/>
        <v>0</v>
      </c>
      <c r="C102" s="78">
        <f>Cd*A*POWER(krpm11/krpmMax*vmax6mps3,2)</f>
        <v>852.8338802810863</v>
      </c>
      <c r="D102" s="77">
        <f t="shared" si="1"/>
        <v>852.8338802810863</v>
      </c>
      <c r="F102" s="70">
        <f t="shared" si="3"/>
        <v>1041.9505991780986</v>
      </c>
      <c r="G102" s="72"/>
      <c r="I102" s="66">
        <f>Torque11</f>
        <v>86.3487909429483</v>
      </c>
      <c r="J102" s="67">
        <f>Power11</f>
        <v>81.38181818181818</v>
      </c>
      <c r="K102" s="44">
        <f t="shared" si="2"/>
        <v>50.08111888111888</v>
      </c>
    </row>
    <row r="103" spans="1:11" ht="12.75">
      <c r="A103" s="28">
        <f>krpmMax/krpmMax*vmax6</f>
        <v>250.75433460932223</v>
      </c>
      <c r="B103" s="55">
        <f t="shared" si="0"/>
        <v>0</v>
      </c>
      <c r="C103" s="79">
        <f>Cd*A*POWER(krpmMax/krpmMax*vmax6mps3,2)</f>
        <v>970.3354371198137</v>
      </c>
      <c r="D103" s="80">
        <f t="shared" si="1"/>
        <v>970.3354371198137</v>
      </c>
      <c r="F103" s="73">
        <f t="shared" si="3"/>
        <v>976.8286867294676</v>
      </c>
      <c r="G103" s="74"/>
      <c r="I103" s="68">
        <f>TorqueRpmMax</f>
        <v>78.35737639654565</v>
      </c>
      <c r="J103" s="69">
        <f>PowerRpmMax</f>
        <v>78.77342657342658</v>
      </c>
      <c r="K103" s="45">
        <f t="shared" si="2"/>
        <v>50.08111888111888</v>
      </c>
    </row>
    <row r="104" spans="1:4" ht="12.75">
      <c r="A104" s="28"/>
      <c r="B104" s="8"/>
      <c r="C104" s="29"/>
      <c r="D104" s="27"/>
    </row>
    <row r="105" spans="1:3" s="4" customFormat="1" ht="12.75">
      <c r="A105" s="63" t="s">
        <v>79</v>
      </c>
      <c r="B105" s="59"/>
      <c r="C105" s="64"/>
    </row>
    <row r="106" spans="1:3" s="4" customFormat="1" ht="12.75">
      <c r="A106" s="65" t="s">
        <v>15</v>
      </c>
      <c r="B106" s="61" t="s">
        <v>5</v>
      </c>
      <c r="C106" s="62"/>
    </row>
    <row r="107" spans="1:3" ht="12.75">
      <c r="A107" s="81">
        <v>0</v>
      </c>
      <c r="B107" s="82">
        <f>Vmax_actual</f>
        <v>251</v>
      </c>
      <c r="C107" s="83">
        <v>0</v>
      </c>
    </row>
    <row r="108" spans="1:3" ht="12.75">
      <c r="A108" s="84">
        <f>ROUNDUP(MAX(C76:C87),-3)</f>
        <v>3000</v>
      </c>
      <c r="B108" s="56">
        <f>Vmax_actual</f>
        <v>251</v>
      </c>
      <c r="C108" s="74">
        <f>ROUNDUP(MAX(B55:B69),-0.5)</f>
        <v>82</v>
      </c>
    </row>
    <row r="109" ht="13.5" customHeight="1"/>
    <row r="110" spans="1:13" ht="12.75">
      <c r="A110" s="63" t="s">
        <v>17</v>
      </c>
      <c r="B110" s="59"/>
      <c r="C110" s="59"/>
      <c r="D110" s="59"/>
      <c r="E110" s="59"/>
      <c r="F110" s="58"/>
      <c r="G110" s="58"/>
      <c r="H110" s="58"/>
      <c r="I110" s="58"/>
      <c r="J110" s="58"/>
      <c r="K110" s="58"/>
      <c r="L110" s="58"/>
      <c r="M110" s="60"/>
    </row>
    <row r="111" spans="1:13" s="4" customFormat="1" ht="12.75">
      <c r="A111" s="50" t="s">
        <v>74</v>
      </c>
      <c r="B111" s="61" t="s">
        <v>53</v>
      </c>
      <c r="C111" s="51" t="s">
        <v>50</v>
      </c>
      <c r="D111" s="61" t="s">
        <v>95</v>
      </c>
      <c r="E111" s="51" t="s">
        <v>48</v>
      </c>
      <c r="F111" s="51" t="s">
        <v>96</v>
      </c>
      <c r="G111" s="61" t="s">
        <v>110</v>
      </c>
      <c r="H111" s="61" t="s">
        <v>49</v>
      </c>
      <c r="I111" s="51" t="s">
        <v>16</v>
      </c>
      <c r="J111" s="61" t="s">
        <v>52</v>
      </c>
      <c r="K111" s="61" t="s">
        <v>54</v>
      </c>
      <c r="L111" s="61" t="s">
        <v>55</v>
      </c>
      <c r="M111" s="62"/>
    </row>
    <row r="112" spans="1:13" ht="12.75">
      <c r="A112" s="85">
        <f>B76</f>
        <v>0</v>
      </c>
      <c r="B112" s="67">
        <f aca="true" t="shared" si="4" ref="B112:B138">A112*1000/3600</f>
        <v>0</v>
      </c>
      <c r="C112" s="86">
        <f>C113</f>
        <v>2937.1398959112707</v>
      </c>
      <c r="D112" s="24">
        <v>0</v>
      </c>
      <c r="E112" s="78">
        <f aca="true" t="shared" si="5" ref="E112:E133">M_tot*9.81*SIN(RADIANS(incline))+Cd*A*POWER(A112*1000/3600,2)</f>
        <v>0</v>
      </c>
      <c r="F112" s="86">
        <f aca="true" t="shared" si="6" ref="F112:F133">C112-E112</f>
        <v>2937.1398959112707</v>
      </c>
      <c r="G112" s="24">
        <v>0</v>
      </c>
      <c r="H112" s="87">
        <f aca="true" t="shared" si="7" ref="H112:H133">F112/M_tot</f>
        <v>9.437315675580239</v>
      </c>
      <c r="I112" s="88">
        <v>0</v>
      </c>
      <c r="J112" s="89">
        <f>I112</f>
        <v>0</v>
      </c>
      <c r="K112" s="90">
        <v>0</v>
      </c>
      <c r="L112" s="67">
        <f>K112</f>
        <v>0</v>
      </c>
      <c r="M112" s="72"/>
    </row>
    <row r="113" spans="1:13" ht="12.75">
      <c r="A113" s="92">
        <f aca="true" t="shared" si="8" ref="A113:A118">B80</f>
        <v>35.92418270501102</v>
      </c>
      <c r="B113" s="91">
        <f t="shared" si="4"/>
        <v>9.97893964028084</v>
      </c>
      <c r="C113" s="78">
        <f>C114</f>
        <v>2937.1398959112707</v>
      </c>
      <c r="D113" s="91">
        <f aca="true" t="shared" si="9" ref="D113:D133">C113*B113/1000</f>
        <v>29.30954173635932</v>
      </c>
      <c r="E113" s="78">
        <f t="shared" si="5"/>
        <v>19.915847268873662</v>
      </c>
      <c r="F113" s="78">
        <f t="shared" si="6"/>
        <v>2917.224048642397</v>
      </c>
      <c r="G113" s="91">
        <f aca="true" t="shared" si="10" ref="G113:G133">F113*B113/1000</f>
        <v>29.11080269857818</v>
      </c>
      <c r="H113" s="87">
        <f t="shared" si="7"/>
        <v>9.37332412451907</v>
      </c>
      <c r="I113" s="87">
        <f>(A113-A112)*1000/3600/H113+A112</f>
        <v>1.064610538131033</v>
      </c>
      <c r="J113" s="87">
        <f>I113-I112</f>
        <v>1.064610538131033</v>
      </c>
      <c r="K113" s="91">
        <f>(B112+B113)/2*J113</f>
        <v>5.311842150208241</v>
      </c>
      <c r="L113" s="91">
        <f aca="true" t="shared" si="11" ref="L113:L119">K113+L112</f>
        <v>5.311842150208241</v>
      </c>
      <c r="M113" s="72"/>
    </row>
    <row r="114" spans="1:13" ht="12.75">
      <c r="A114" s="92">
        <f t="shared" si="8"/>
        <v>41.056208805726875</v>
      </c>
      <c r="B114" s="91">
        <f t="shared" si="4"/>
        <v>11.404502446035243</v>
      </c>
      <c r="C114" s="78">
        <f>C115</f>
        <v>2937.1398959112707</v>
      </c>
      <c r="D114" s="91">
        <f t="shared" si="9"/>
        <v>33.49661912726779</v>
      </c>
      <c r="E114" s="78">
        <f t="shared" si="5"/>
        <v>26.012535208324774</v>
      </c>
      <c r="F114" s="78">
        <f t="shared" si="6"/>
        <v>2911.127360702946</v>
      </c>
      <c r="G114" s="91">
        <f t="shared" si="10"/>
        <v>33.19995910585687</v>
      </c>
      <c r="H114" s="87">
        <f t="shared" si="7"/>
        <v>9.353734874194222</v>
      </c>
      <c r="I114" s="87">
        <f aca="true" t="shared" si="12" ref="I114:I132">(A114-A113)*1000/3600/H114+I113</f>
        <v>1.217016269630581</v>
      </c>
      <c r="J114" s="87">
        <f aca="true" t="shared" si="13" ref="J114:J133">I114-I113</f>
        <v>0.15240573149954817</v>
      </c>
      <c r="K114" s="91">
        <f aca="true" t="shared" si="14" ref="K114:K119">(B113+B114)/2*J114</f>
        <v>1.6294795665716135</v>
      </c>
      <c r="L114" s="91">
        <f t="shared" si="11"/>
        <v>6.941321716779854</v>
      </c>
      <c r="M114" s="72"/>
    </row>
    <row r="115" spans="1:13" ht="12.75">
      <c r="A115" s="92">
        <f t="shared" si="8"/>
        <v>51.3202610071586</v>
      </c>
      <c r="B115" s="91">
        <f t="shared" si="4"/>
        <v>14.255628057544056</v>
      </c>
      <c r="C115" s="78">
        <f aca="true" t="shared" si="15" ref="C115:C120">C82</f>
        <v>2937.1398959112707</v>
      </c>
      <c r="D115" s="91">
        <f t="shared" si="9"/>
        <v>41.87077390908474</v>
      </c>
      <c r="E115" s="78">
        <f t="shared" si="5"/>
        <v>40.64458626300747</v>
      </c>
      <c r="F115" s="78">
        <f t="shared" si="6"/>
        <v>2896.495309648263</v>
      </c>
      <c r="G115" s="91">
        <f t="shared" si="10"/>
        <v>41.29135980476654</v>
      </c>
      <c r="H115" s="87">
        <f t="shared" si="7"/>
        <v>9.306720673414588</v>
      </c>
      <c r="I115" s="87">
        <f t="shared" si="12"/>
        <v>1.5233675303548109</v>
      </c>
      <c r="J115" s="87">
        <f t="shared" si="13"/>
        <v>0.3063512607242298</v>
      </c>
      <c r="K115" s="91">
        <f t="shared" si="14"/>
        <v>3.930506665059892</v>
      </c>
      <c r="L115" s="91">
        <f t="shared" si="11"/>
        <v>10.871828381839746</v>
      </c>
      <c r="M115" s="72"/>
    </row>
    <row r="116" spans="1:13" ht="12.75">
      <c r="A116" s="92">
        <f t="shared" si="8"/>
        <v>61.58431320859031</v>
      </c>
      <c r="B116" s="91">
        <f t="shared" si="4"/>
        <v>17.106753669052864</v>
      </c>
      <c r="C116" s="78">
        <f t="shared" si="15"/>
        <v>2779.064658457712</v>
      </c>
      <c r="D116" s="91">
        <f t="shared" si="9"/>
        <v>47.54077454260661</v>
      </c>
      <c r="E116" s="78">
        <f t="shared" si="5"/>
        <v>58.528204218730735</v>
      </c>
      <c r="F116" s="78">
        <f t="shared" si="6"/>
        <v>2720.536454238981</v>
      </c>
      <c r="G116" s="91">
        <f t="shared" si="10"/>
        <v>46.53954697034476</v>
      </c>
      <c r="H116" s="87">
        <f t="shared" si="7"/>
        <v>8.741347785755123</v>
      </c>
      <c r="I116" s="87">
        <f t="shared" si="12"/>
        <v>1.8495329777649911</v>
      </c>
      <c r="J116" s="87">
        <f t="shared" si="13"/>
        <v>0.3261654474101803</v>
      </c>
      <c r="K116" s="91">
        <f t="shared" si="14"/>
        <v>5.1146626338521735</v>
      </c>
      <c r="L116" s="91">
        <f t="shared" si="11"/>
        <v>15.98649101569192</v>
      </c>
      <c r="M116" s="72"/>
    </row>
    <row r="117" spans="1:13" s="12" customFormat="1" ht="12.75">
      <c r="A117" s="92">
        <f t="shared" si="8"/>
        <v>71.84836541002204</v>
      </c>
      <c r="B117" s="91">
        <f t="shared" si="4"/>
        <v>19.95787928056168</v>
      </c>
      <c r="C117" s="78">
        <f t="shared" si="15"/>
        <v>2622.4463356350634</v>
      </c>
      <c r="D117" s="91">
        <f t="shared" si="9"/>
        <v>52.33846738635594</v>
      </c>
      <c r="E117" s="78">
        <f t="shared" si="5"/>
        <v>79.66338907549465</v>
      </c>
      <c r="F117" s="78">
        <f t="shared" si="6"/>
        <v>2542.7829465595687</v>
      </c>
      <c r="G117" s="91">
        <f t="shared" si="10"/>
        <v>50.7485550841068</v>
      </c>
      <c r="H117" s="87">
        <f t="shared" si="7"/>
        <v>8.170208506094824</v>
      </c>
      <c r="I117" s="87">
        <f t="shared" si="12"/>
        <v>2.1984990548708483</v>
      </c>
      <c r="J117" s="87">
        <f t="shared" si="13"/>
        <v>0.34896607710585714</v>
      </c>
      <c r="K117" s="91">
        <f t="shared" si="14"/>
        <v>6.467149779897742</v>
      </c>
      <c r="L117" s="91">
        <f t="shared" si="11"/>
        <v>22.453640795589664</v>
      </c>
      <c r="M117" s="142"/>
    </row>
    <row r="118" spans="1:13" ht="12.75">
      <c r="A118" s="92">
        <f t="shared" si="8"/>
        <v>82.11241761145375</v>
      </c>
      <c r="B118" s="91">
        <f t="shared" si="4"/>
        <v>22.809004892070487</v>
      </c>
      <c r="C118" s="78">
        <f t="shared" si="15"/>
        <v>2657.958629763454</v>
      </c>
      <c r="D118" s="91">
        <f t="shared" si="9"/>
        <v>60.6253913891956</v>
      </c>
      <c r="E118" s="78">
        <f t="shared" si="5"/>
        <v>104.0501408332991</v>
      </c>
      <c r="F118" s="78">
        <f t="shared" si="6"/>
        <v>2553.9084889301553</v>
      </c>
      <c r="G118" s="91">
        <f t="shared" si="10"/>
        <v>58.25211121790826</v>
      </c>
      <c r="H118" s="87">
        <f t="shared" si="7"/>
        <v>8.205955953997945</v>
      </c>
      <c r="I118" s="87">
        <f t="shared" si="12"/>
        <v>2.5459449377749284</v>
      </c>
      <c r="J118" s="87">
        <f t="shared" si="13"/>
        <v>0.3474458829040801</v>
      </c>
      <c r="K118" s="91">
        <f t="shared" si="14"/>
        <v>7.429588915208356</v>
      </c>
      <c r="L118" s="91">
        <f t="shared" si="11"/>
        <v>29.88322971079802</v>
      </c>
      <c r="M118" s="72"/>
    </row>
    <row r="119" spans="1:13" ht="12.75">
      <c r="A119" s="92">
        <f>B86</f>
        <v>92.37646981288546</v>
      </c>
      <c r="B119" s="91">
        <f t="shared" si="4"/>
        <v>25.660130503579296</v>
      </c>
      <c r="C119" s="78">
        <f t="shared" si="15"/>
        <v>2651.5846282532298</v>
      </c>
      <c r="D119" s="91">
        <f t="shared" si="9"/>
        <v>68.04000760226268</v>
      </c>
      <c r="E119" s="78">
        <f t="shared" si="5"/>
        <v>131.68845949214412</v>
      </c>
      <c r="F119" s="78">
        <f t="shared" si="6"/>
        <v>2519.896168761086</v>
      </c>
      <c r="G119" s="91">
        <f t="shared" si="10"/>
        <v>64.66086454587894</v>
      </c>
      <c r="H119" s="87">
        <f t="shared" si="7"/>
        <v>8.096671066771004</v>
      </c>
      <c r="I119" s="87">
        <f t="shared" si="12"/>
        <v>2.898080474466041</v>
      </c>
      <c r="J119" s="87">
        <f t="shared" si="13"/>
        <v>0.3521355366911125</v>
      </c>
      <c r="K119" s="91">
        <f t="shared" si="14"/>
        <v>8.533852502750667</v>
      </c>
      <c r="L119" s="91">
        <f t="shared" si="11"/>
        <v>38.41708221354869</v>
      </c>
      <c r="M119" s="72"/>
    </row>
    <row r="120" spans="1:13" ht="12.75">
      <c r="A120" s="93">
        <f>B87</f>
        <v>98.5349011337445</v>
      </c>
      <c r="B120" s="94">
        <f t="shared" si="4"/>
        <v>27.37080587048458</v>
      </c>
      <c r="C120" s="95">
        <f t="shared" si="15"/>
        <v>2406.185570109602</v>
      </c>
      <c r="D120" s="94">
        <f t="shared" si="9"/>
        <v>65.85923812783118</v>
      </c>
      <c r="E120" s="95">
        <f t="shared" si="5"/>
        <v>149.83220279995064</v>
      </c>
      <c r="F120" s="95">
        <f t="shared" si="6"/>
        <v>2256.3533673096513</v>
      </c>
      <c r="G120" s="94">
        <f t="shared" si="10"/>
        <v>61.758209991846655</v>
      </c>
      <c r="H120" s="96">
        <f t="shared" si="7"/>
        <v>7.2498824562638085</v>
      </c>
      <c r="I120" s="96">
        <f t="shared" si="12"/>
        <v>3.1340395230747924</v>
      </c>
      <c r="J120" s="96">
        <f t="shared" si="13"/>
        <v>0.2359590486087515</v>
      </c>
      <c r="K120" s="94">
        <f aca="true" t="shared" si="16" ref="K120:K138">(B119+B120)/2*J120</f>
        <v>6.256564646827673</v>
      </c>
      <c r="L120" s="94">
        <f aca="true" t="shared" si="17" ref="L120:L138">K120+L119</f>
        <v>44.673646860376365</v>
      </c>
      <c r="M120" s="143"/>
    </row>
    <row r="121" spans="1:13" ht="12.75">
      <c r="A121" s="97">
        <f>A120</f>
        <v>98.5349011337445</v>
      </c>
      <c r="B121" s="98">
        <f t="shared" si="4"/>
        <v>27.37080587048458</v>
      </c>
      <c r="C121" s="99">
        <f>C122</f>
        <v>1868.366773141797</v>
      </c>
      <c r="D121" s="98">
        <f t="shared" si="9"/>
        <v>51.13870424252784</v>
      </c>
      <c r="E121" s="99">
        <f t="shared" si="5"/>
        <v>149.83220279995064</v>
      </c>
      <c r="F121" s="99">
        <f t="shared" si="6"/>
        <v>1718.5345703418463</v>
      </c>
      <c r="G121" s="98">
        <f t="shared" si="10"/>
        <v>47.0376761065433</v>
      </c>
      <c r="H121" s="100">
        <f t="shared" si="7"/>
        <v>5.521818440548534</v>
      </c>
      <c r="I121" s="100">
        <f>(A121-A120)*1000/3600/H121+I120+Gearchange</f>
        <v>3.3840395230747924</v>
      </c>
      <c r="J121" s="100">
        <f t="shared" si="13"/>
        <v>0.25</v>
      </c>
      <c r="K121" s="98">
        <f t="shared" si="16"/>
        <v>6.842701467621145</v>
      </c>
      <c r="L121" s="98">
        <f t="shared" si="17"/>
        <v>51.51634832799751</v>
      </c>
      <c r="M121" s="144" t="s">
        <v>111</v>
      </c>
    </row>
    <row r="122" spans="1:13" s="12" customFormat="1" ht="12.75">
      <c r="A122" s="92">
        <f>D84</f>
        <v>100.84662460253543</v>
      </c>
      <c r="B122" s="91">
        <f t="shared" si="4"/>
        <v>28.012951278482063</v>
      </c>
      <c r="C122" s="78">
        <f>E84</f>
        <v>1868.366773141797</v>
      </c>
      <c r="D122" s="91">
        <f t="shared" si="9"/>
        <v>52.33846738635591</v>
      </c>
      <c r="E122" s="78">
        <f t="shared" si="5"/>
        <v>156.94508786612198</v>
      </c>
      <c r="F122" s="78">
        <f t="shared" si="6"/>
        <v>1711.421685275675</v>
      </c>
      <c r="G122" s="91">
        <f t="shared" si="10"/>
        <v>47.94197228656514</v>
      </c>
      <c r="H122" s="87">
        <f t="shared" si="7"/>
        <v>5.498964050184962</v>
      </c>
      <c r="I122" s="87">
        <f t="shared" si="12"/>
        <v>3.5008152288508434</v>
      </c>
      <c r="J122" s="87">
        <f t="shared" si="13"/>
        <v>0.11677570577605101</v>
      </c>
      <c r="K122" s="91">
        <f t="shared" si="16"/>
        <v>3.2337386647999953</v>
      </c>
      <c r="L122" s="91">
        <f t="shared" si="17"/>
        <v>54.750086992797506</v>
      </c>
      <c r="M122" s="142"/>
    </row>
    <row r="123" spans="1:13" ht="12.75">
      <c r="A123" s="92">
        <f>D85</f>
        <v>115.25328526004049</v>
      </c>
      <c r="B123" s="91">
        <f t="shared" si="4"/>
        <v>32.01480146112236</v>
      </c>
      <c r="C123" s="78">
        <f>E85</f>
        <v>1893.667573194759</v>
      </c>
      <c r="D123" s="91">
        <f t="shared" si="9"/>
        <v>60.625391389195606</v>
      </c>
      <c r="E123" s="78">
        <f t="shared" si="5"/>
        <v>204.98950251901647</v>
      </c>
      <c r="F123" s="78">
        <f t="shared" si="6"/>
        <v>1688.6780706757424</v>
      </c>
      <c r="G123" s="91">
        <f t="shared" si="10"/>
        <v>54.062693164435046</v>
      </c>
      <c r="H123" s="87">
        <f t="shared" si="7"/>
        <v>5.425886608118926</v>
      </c>
      <c r="I123" s="87">
        <f t="shared" si="12"/>
        <v>4.238362927811636</v>
      </c>
      <c r="J123" s="87">
        <f t="shared" si="13"/>
        <v>0.7375476989607925</v>
      </c>
      <c r="K123" s="91">
        <f t="shared" si="16"/>
        <v>22.136665453441328</v>
      </c>
      <c r="L123" s="91">
        <f t="shared" si="17"/>
        <v>76.88675244623883</v>
      </c>
      <c r="M123" s="72"/>
    </row>
    <row r="124" spans="1:13" ht="12.75">
      <c r="A124" s="92">
        <f>D86</f>
        <v>129.65994591754554</v>
      </c>
      <c r="B124" s="91">
        <f t="shared" si="4"/>
        <v>36.01665164376265</v>
      </c>
      <c r="C124" s="78">
        <f>E86</f>
        <v>1889.1264039544837</v>
      </c>
      <c r="D124" s="91">
        <f t="shared" si="9"/>
        <v>68.04000760226268</v>
      </c>
      <c r="E124" s="78">
        <f t="shared" si="5"/>
        <v>259.43983912563016</v>
      </c>
      <c r="F124" s="78">
        <f t="shared" si="6"/>
        <v>1629.6865648288535</v>
      </c>
      <c r="G124" s="91">
        <f t="shared" si="10"/>
        <v>58.69585329396103</v>
      </c>
      <c r="H124" s="87">
        <f t="shared" si="7"/>
        <v>5.236341171883516</v>
      </c>
      <c r="I124" s="87">
        <f t="shared" si="12"/>
        <v>5.002608428874131</v>
      </c>
      <c r="J124" s="87">
        <f t="shared" si="13"/>
        <v>0.7642455010624953</v>
      </c>
      <c r="K124" s="91">
        <f t="shared" si="16"/>
        <v>25.996365983076245</v>
      </c>
      <c r="L124" s="91">
        <f t="shared" si="17"/>
        <v>102.88311842931508</v>
      </c>
      <c r="M124" s="72"/>
    </row>
    <row r="125" spans="1:13" ht="12.75">
      <c r="A125" s="93">
        <f>D87</f>
        <v>138.30394231204858</v>
      </c>
      <c r="B125" s="94">
        <f t="shared" si="4"/>
        <v>38.417761753346824</v>
      </c>
      <c r="C125" s="95">
        <f>E87</f>
        <v>1714.2913882038888</v>
      </c>
      <c r="D125" s="94">
        <f t="shared" si="9"/>
        <v>65.85923812783119</v>
      </c>
      <c r="E125" s="95">
        <f t="shared" si="5"/>
        <v>295.1848836273836</v>
      </c>
      <c r="F125" s="95">
        <f t="shared" si="6"/>
        <v>1419.1065045765051</v>
      </c>
      <c r="G125" s="94">
        <f t="shared" si="10"/>
        <v>54.51889559544495</v>
      </c>
      <c r="H125" s="96">
        <f t="shared" si="7"/>
        <v>4.559726991418155</v>
      </c>
      <c r="I125" s="96">
        <f t="shared" si="12"/>
        <v>5.5291991905805435</v>
      </c>
      <c r="J125" s="96">
        <f t="shared" si="13"/>
        <v>0.5265907617064123</v>
      </c>
      <c r="K125" s="94">
        <f t="shared" si="16"/>
        <v>19.598237223976927</v>
      </c>
      <c r="L125" s="94">
        <f t="shared" si="17"/>
        <v>122.481355653292</v>
      </c>
      <c r="M125" s="72"/>
    </row>
    <row r="126" spans="1:13" s="12" customFormat="1" ht="12.75">
      <c r="A126" s="97">
        <f>A125</f>
        <v>138.30394231204858</v>
      </c>
      <c r="B126" s="98">
        <f t="shared" si="4"/>
        <v>38.417761753346824</v>
      </c>
      <c r="C126" s="99">
        <f>C127</f>
        <v>1502.8369192675848</v>
      </c>
      <c r="D126" s="98">
        <f t="shared" si="9"/>
        <v>57.73563071855579</v>
      </c>
      <c r="E126" s="99">
        <f t="shared" si="5"/>
        <v>295.1848836273836</v>
      </c>
      <c r="F126" s="99">
        <f t="shared" si="6"/>
        <v>1207.6520356402011</v>
      </c>
      <c r="G126" s="98">
        <f t="shared" si="10"/>
        <v>46.39528818616956</v>
      </c>
      <c r="H126" s="100">
        <f t="shared" si="7"/>
        <v>3.8803032509480277</v>
      </c>
      <c r="I126" s="100">
        <f>(A126-A125)*1000/3600/H126+I125+Gearchange</f>
        <v>5.7791991905805435</v>
      </c>
      <c r="J126" s="100">
        <f t="shared" si="13"/>
        <v>0.25</v>
      </c>
      <c r="K126" s="98">
        <f t="shared" si="16"/>
        <v>9.604440438336706</v>
      </c>
      <c r="L126" s="98">
        <f t="shared" si="17"/>
        <v>132.0857960916287</v>
      </c>
      <c r="M126" s="145" t="s">
        <v>111</v>
      </c>
    </row>
    <row r="127" spans="1:16" ht="12.75">
      <c r="A127" s="92">
        <f>F85</f>
        <v>145.22627585398294</v>
      </c>
      <c r="B127" s="91">
        <f t="shared" si="4"/>
        <v>40.34063218166193</v>
      </c>
      <c r="C127" s="78">
        <f>G85</f>
        <v>1502.8369192675848</v>
      </c>
      <c r="D127" s="91">
        <f t="shared" si="9"/>
        <v>60.625391389195606</v>
      </c>
      <c r="E127" s="78">
        <f t="shared" si="5"/>
        <v>325.4733209632277</v>
      </c>
      <c r="F127" s="78">
        <f t="shared" si="6"/>
        <v>1177.363598304357</v>
      </c>
      <c r="G127" s="91">
        <f t="shared" si="10"/>
        <v>47.495591863274036</v>
      </c>
      <c r="H127" s="87">
        <f t="shared" si="7"/>
        <v>3.782983560845318</v>
      </c>
      <c r="I127" s="87">
        <f t="shared" si="12"/>
        <v>6.287493873173727</v>
      </c>
      <c r="J127" s="87">
        <f t="shared" si="13"/>
        <v>0.5082946825931831</v>
      </c>
      <c r="K127" s="91">
        <f t="shared" si="16"/>
        <v>20.016236423372078</v>
      </c>
      <c r="L127" s="91">
        <f t="shared" si="17"/>
        <v>152.1020325150008</v>
      </c>
      <c r="M127" s="62"/>
      <c r="N127" s="4"/>
      <c r="P127" s="4"/>
    </row>
    <row r="128" spans="1:13" s="12" customFormat="1" ht="12.75">
      <c r="A128" s="92">
        <f>F86</f>
        <v>163.3795603357308</v>
      </c>
      <c r="B128" s="91">
        <f t="shared" si="4"/>
        <v>45.383211204369665</v>
      </c>
      <c r="C128" s="78">
        <f>G86</f>
        <v>1499.2329938017153</v>
      </c>
      <c r="D128" s="91">
        <f t="shared" si="9"/>
        <v>68.04000760226269</v>
      </c>
      <c r="E128" s="78">
        <f t="shared" si="5"/>
        <v>411.92717184408485</v>
      </c>
      <c r="F128" s="78">
        <f t="shared" si="6"/>
        <v>1087.3058219576305</v>
      </c>
      <c r="G128" s="91">
        <f t="shared" si="10"/>
        <v>49.345429761643906</v>
      </c>
      <c r="H128" s="87">
        <f t="shared" si="7"/>
        <v>3.493619181025346</v>
      </c>
      <c r="I128" s="87">
        <f t="shared" si="12"/>
        <v>7.730862128676544</v>
      </c>
      <c r="J128" s="87">
        <f t="shared" si="13"/>
        <v>1.4433682555028176</v>
      </c>
      <c r="K128" s="91">
        <f t="shared" si="16"/>
        <v>61.86553714154659</v>
      </c>
      <c r="L128" s="91">
        <f t="shared" si="17"/>
        <v>213.96756965654737</v>
      </c>
      <c r="M128" s="142"/>
    </row>
    <row r="129" spans="1:13" ht="12.75">
      <c r="A129" s="93">
        <f>F87</f>
        <v>174.2715310247795</v>
      </c>
      <c r="B129" s="94">
        <f t="shared" si="4"/>
        <v>48.40875861799431</v>
      </c>
      <c r="C129" s="95">
        <f>G87</f>
        <v>1360.4818633657396</v>
      </c>
      <c r="D129" s="94">
        <f t="shared" si="9"/>
        <v>65.8592381278312</v>
      </c>
      <c r="E129" s="95">
        <f t="shared" si="5"/>
        <v>468.6815821870477</v>
      </c>
      <c r="F129" s="95">
        <f t="shared" si="6"/>
        <v>891.8002811786919</v>
      </c>
      <c r="G129" s="94">
        <f t="shared" si="10"/>
        <v>43.17094454703875</v>
      </c>
      <c r="H129" s="96">
        <f t="shared" si="7"/>
        <v>2.865440895331729</v>
      </c>
      <c r="I129" s="96">
        <f t="shared" si="12"/>
        <v>8.786737131561354</v>
      </c>
      <c r="J129" s="96">
        <f t="shared" si="13"/>
        <v>1.05587500288481</v>
      </c>
      <c r="K129" s="94">
        <f t="shared" si="16"/>
        <v>49.51629820338029</v>
      </c>
      <c r="L129" s="94">
        <f t="shared" si="17"/>
        <v>263.48386785992767</v>
      </c>
      <c r="M129" s="72"/>
    </row>
    <row r="130" spans="1:13" ht="12.75">
      <c r="A130" s="97">
        <f>A129</f>
        <v>174.2715310247795</v>
      </c>
      <c r="B130" s="98">
        <f t="shared" si="4"/>
        <v>48.40875861799431</v>
      </c>
      <c r="C130" s="99">
        <f>C131</f>
        <v>1253.0354188391786</v>
      </c>
      <c r="D130" s="98">
        <f t="shared" si="9"/>
        <v>60.6578891303832</v>
      </c>
      <c r="E130" s="99">
        <f t="shared" si="5"/>
        <v>468.6815821870477</v>
      </c>
      <c r="F130" s="99">
        <f t="shared" si="6"/>
        <v>784.3538366521309</v>
      </c>
      <c r="G130" s="98">
        <f t="shared" si="10"/>
        <v>37.96959554959074</v>
      </c>
      <c r="H130" s="100">
        <f t="shared" si="7"/>
        <v>2.520205036247369</v>
      </c>
      <c r="I130" s="100">
        <f>(A130-A129)*1000/3600/H130+I129+Gearchange</f>
        <v>9.036737131561354</v>
      </c>
      <c r="J130" s="100">
        <f t="shared" si="13"/>
        <v>0.25</v>
      </c>
      <c r="K130" s="98">
        <f t="shared" si="16"/>
        <v>12.102189654498577</v>
      </c>
      <c r="L130" s="98">
        <f t="shared" si="17"/>
        <v>275.5860575144263</v>
      </c>
      <c r="M130" s="144" t="s">
        <v>111</v>
      </c>
    </row>
    <row r="131" spans="1:13" s="12" customFormat="1" ht="12.75">
      <c r="A131" s="92">
        <f>H86</f>
        <v>195.48052966855766</v>
      </c>
      <c r="B131" s="91">
        <f t="shared" si="4"/>
        <v>54.300147130154905</v>
      </c>
      <c r="C131" s="78">
        <f>I86</f>
        <v>1253.0354188391786</v>
      </c>
      <c r="D131" s="91">
        <f t="shared" si="9"/>
        <v>68.04000760226268</v>
      </c>
      <c r="E131" s="78">
        <f t="shared" si="5"/>
        <v>589.7011956712939</v>
      </c>
      <c r="F131" s="78">
        <f t="shared" si="6"/>
        <v>663.3342231678847</v>
      </c>
      <c r="G131" s="91">
        <f t="shared" si="10"/>
        <v>36.01914591448315</v>
      </c>
      <c r="H131" s="87">
        <f t="shared" si="7"/>
        <v>2.1313572673762193</v>
      </c>
      <c r="I131" s="87">
        <f t="shared" si="12"/>
        <v>11.80088587487041</v>
      </c>
      <c r="J131" s="87">
        <f t="shared" si="13"/>
        <v>2.7641487433090557</v>
      </c>
      <c r="K131" s="91">
        <f t="shared" si="16"/>
        <v>141.95134637519746</v>
      </c>
      <c r="L131" s="91">
        <f t="shared" si="17"/>
        <v>417.53740388962376</v>
      </c>
      <c r="M131" s="142"/>
    </row>
    <row r="132" spans="1:13" ht="12.75">
      <c r="A132" s="93">
        <f>H87</f>
        <v>208.51256497979483</v>
      </c>
      <c r="B132" s="94">
        <f t="shared" si="4"/>
        <v>57.9201569388319</v>
      </c>
      <c r="C132" s="95">
        <f>I87</f>
        <v>1137.0694005091107</v>
      </c>
      <c r="D132" s="94">
        <f t="shared" si="9"/>
        <v>65.85923812783119</v>
      </c>
      <c r="E132" s="95">
        <f t="shared" si="5"/>
        <v>670.9489159637835</v>
      </c>
      <c r="F132" s="95">
        <f t="shared" si="6"/>
        <v>466.12048454532714</v>
      </c>
      <c r="G132" s="94">
        <f t="shared" si="10"/>
        <v>26.99777161726972</v>
      </c>
      <c r="H132" s="96">
        <f t="shared" si="7"/>
        <v>1.497690376148689</v>
      </c>
      <c r="I132" s="96">
        <f t="shared" si="12"/>
        <v>14.21794741597869</v>
      </c>
      <c r="J132" s="96">
        <f t="shared" si="13"/>
        <v>2.4170615411082803</v>
      </c>
      <c r="K132" s="94">
        <f t="shared" si="16"/>
        <v>135.62169054831253</v>
      </c>
      <c r="L132" s="94">
        <f t="shared" si="17"/>
        <v>553.1590944379363</v>
      </c>
      <c r="M132" s="72"/>
    </row>
    <row r="133" spans="1:13" ht="12.75">
      <c r="A133" s="97">
        <f>A132</f>
        <v>208.51256497979483</v>
      </c>
      <c r="B133" s="98">
        <f t="shared" si="4"/>
        <v>57.9201569388319</v>
      </c>
      <c r="C133" s="99">
        <f>C134</f>
        <v>1119.3368505759415</v>
      </c>
      <c r="D133" s="98">
        <f t="shared" si="9"/>
        <v>64.83216605277637</v>
      </c>
      <c r="E133" s="99">
        <f t="shared" si="5"/>
        <v>670.9489159637835</v>
      </c>
      <c r="F133" s="99">
        <f t="shared" si="6"/>
        <v>448.387934612158</v>
      </c>
      <c r="G133" s="98">
        <f t="shared" si="10"/>
        <v>25.97069954221489</v>
      </c>
      <c r="H133" s="100">
        <f t="shared" si="7"/>
        <v>1.4407139714206516</v>
      </c>
      <c r="I133" s="100">
        <f>(A133-A132)*1000/3600/H133+I132+Gearchange</f>
        <v>14.46794741597869</v>
      </c>
      <c r="J133" s="100">
        <f t="shared" si="13"/>
        <v>0.25</v>
      </c>
      <c r="K133" s="98">
        <f t="shared" si="16"/>
        <v>14.480039234707975</v>
      </c>
      <c r="L133" s="98">
        <f t="shared" si="17"/>
        <v>567.6391336726443</v>
      </c>
      <c r="M133" s="144" t="s">
        <v>111</v>
      </c>
    </row>
    <row r="134" spans="1:13" ht="12.75">
      <c r="A134" s="92">
        <f>J86</f>
        <v>218.82959293452424</v>
      </c>
      <c r="B134" s="91">
        <f t="shared" si="4"/>
        <v>60.78599803736784</v>
      </c>
      <c r="C134" s="78">
        <f>K86</f>
        <v>1119.3368505759415</v>
      </c>
      <c r="D134" s="91">
        <f>C134*B134/1000</f>
        <v>68.04000760226268</v>
      </c>
      <c r="E134" s="78">
        <f>M_tot*9.81*SIN(RADIANS(incline))+Cd*A*POWER(A134*1000/3600,2)</f>
        <v>738.9875114797774</v>
      </c>
      <c r="F134" s="78">
        <f>C134-E134</f>
        <v>380.34933909616416</v>
      </c>
      <c r="G134" s="91">
        <f>F134*B134/1000</f>
        <v>23.11991417981359</v>
      </c>
      <c r="H134" s="87">
        <f>F134/M_tot</f>
        <v>1.2220993576253032</v>
      </c>
      <c r="I134" s="87">
        <f>(A134-A133)*1000/3600/H134+I133</f>
        <v>16.81296223057171</v>
      </c>
      <c r="J134" s="87">
        <f>I134-I133</f>
        <v>2.3450148145930196</v>
      </c>
      <c r="K134" s="91">
        <f t="shared" si="16"/>
        <v>139.18384600128164</v>
      </c>
      <c r="L134" s="91">
        <f t="shared" si="17"/>
        <v>706.8229796739259</v>
      </c>
      <c r="M134" s="72"/>
    </row>
    <row r="135" spans="1:13" ht="12.75">
      <c r="A135" s="93">
        <f>J87</f>
        <v>233.41823246349253</v>
      </c>
      <c r="B135" s="94">
        <f t="shared" si="4"/>
        <v>64.8383979065257</v>
      </c>
      <c r="C135" s="95">
        <f>M87</f>
        <v>945.5200749753179</v>
      </c>
      <c r="D135" s="94">
        <f>C135*B135/1000</f>
        <v>61.306006849857674</v>
      </c>
      <c r="E135" s="95">
        <f>M_tot*9.81*SIN(RADIANS(incline))+Cd*A*POWER(A135*1000/3600,2)</f>
        <v>840.8035686169914</v>
      </c>
      <c r="F135" s="95">
        <f>C135-E135</f>
        <v>104.71650635832657</v>
      </c>
      <c r="G135" s="94">
        <f>F135*B135/1000</f>
        <v>6.789650506642406</v>
      </c>
      <c r="H135" s="96">
        <f>F135/M_tot</f>
        <v>0.33646430267865163</v>
      </c>
      <c r="I135" s="96">
        <f>(A135-A134)*1000/3600/H135+I134</f>
        <v>28.857032989032525</v>
      </c>
      <c r="J135" s="96">
        <f>I135-I134</f>
        <v>12.044070758460816</v>
      </c>
      <c r="K135" s="94">
        <f t="shared" si="16"/>
        <v>756.5145568685758</v>
      </c>
      <c r="L135" s="94">
        <f t="shared" si="17"/>
        <v>1463.3375365425018</v>
      </c>
      <c r="M135" s="72"/>
    </row>
    <row r="136" spans="1:13" ht="12.75">
      <c r="A136" s="97">
        <f>A135</f>
        <v>233.41823246349253</v>
      </c>
      <c r="B136" s="98">
        <f t="shared" si="4"/>
        <v>64.8383979065257</v>
      </c>
      <c r="C136" s="99">
        <f>C137</f>
        <v>1041.9505991780984</v>
      </c>
      <c r="D136" s="98">
        <f>C136*B136/1000</f>
        <v>67.55840754845241</v>
      </c>
      <c r="E136" s="99">
        <f>M_tot*9.81*SIN(RADIANS(incline))+Cd*A*POWER(A136*1000/3600,2)</f>
        <v>840.8035686169914</v>
      </c>
      <c r="F136" s="99">
        <f>C136-E136</f>
        <v>201.14703056110704</v>
      </c>
      <c r="G136" s="98">
        <f>F136*B136/1000</f>
        <v>13.042051205237144</v>
      </c>
      <c r="H136" s="100">
        <f>F136/M_tot</f>
        <v>0.646304940140345</v>
      </c>
      <c r="I136" s="100">
        <f>(A136-A135)*1000/3600/H136+I135+Gearchange</f>
        <v>29.107032989032525</v>
      </c>
      <c r="J136" s="100">
        <f>I136-I135</f>
        <v>0.25</v>
      </c>
      <c r="K136" s="98">
        <f t="shared" si="16"/>
        <v>16.209599476631425</v>
      </c>
      <c r="L136" s="98">
        <f t="shared" si="17"/>
        <v>1479.5471360191332</v>
      </c>
      <c r="M136" s="144" t="s">
        <v>111</v>
      </c>
    </row>
    <row r="137" spans="1:13" ht="12.75">
      <c r="A137" s="92">
        <f>L86</f>
        <v>235.0821886962396</v>
      </c>
      <c r="B137" s="91">
        <f t="shared" si="4"/>
        <v>65.30060797117767</v>
      </c>
      <c r="C137" s="78">
        <f>M86</f>
        <v>1041.9505991780984</v>
      </c>
      <c r="D137" s="91">
        <f>C137*B137/1000</f>
        <v>68.04000760226268</v>
      </c>
      <c r="E137" s="78">
        <f>M_tot*9.81*SIN(RADIANS(incline))+Cd*A*POWER(A137*1000/3600,2)</f>
        <v>852.8338802810866</v>
      </c>
      <c r="F137" s="78">
        <f>C137-E137</f>
        <v>189.11671889701176</v>
      </c>
      <c r="G137" s="91">
        <f>F137*B137/1000</f>
        <v>12.349436721489173</v>
      </c>
      <c r="H137" s="87">
        <f>F137/M_tot</f>
        <v>0.6076503806460117</v>
      </c>
      <c r="I137" s="87">
        <f>(A137-A136)*1000/3600/H137+I136</f>
        <v>29.867684309880172</v>
      </c>
      <c r="J137" s="87">
        <f>I137-I136</f>
        <v>0.7606513208476464</v>
      </c>
      <c r="K137" s="91">
        <f t="shared" si="16"/>
        <v>49.495203357337346</v>
      </c>
      <c r="L137" s="91">
        <f t="shared" si="17"/>
        <v>1529.0423393764704</v>
      </c>
      <c r="M137" s="72"/>
    </row>
    <row r="138" spans="1:13" ht="12.75">
      <c r="A138" s="101">
        <f>L87</f>
        <v>250.75433460932223</v>
      </c>
      <c r="B138" s="102">
        <f t="shared" si="4"/>
        <v>69.65398183592283</v>
      </c>
      <c r="C138" s="79">
        <f>M87</f>
        <v>945.5200749753179</v>
      </c>
      <c r="D138" s="102">
        <f>C138*B138/1000</f>
        <v>65.85923812783119</v>
      </c>
      <c r="E138" s="79">
        <f>M_tot*9.81*SIN(RADIANS(incline))+Cd*A*POWER(A138*1000/3600,2)</f>
        <v>970.3354371198137</v>
      </c>
      <c r="F138" s="79">
        <f>C138-E138</f>
        <v>-24.815362144495793</v>
      </c>
      <c r="G138" s="102">
        <f>F138*B138/1000</f>
        <v>-1.7284887840645573</v>
      </c>
      <c r="H138" s="103">
        <f>F138/M_tot</f>
        <v>-0.07973416808898413</v>
      </c>
      <c r="I138" s="103">
        <f>(A138-A137)*1000/3600/H138+I137</f>
        <v>-24.730914623098794</v>
      </c>
      <c r="J138" s="103">
        <f>I138-I137</f>
        <v>-54.598598932978966</v>
      </c>
      <c r="K138" s="102">
        <f t="shared" si="16"/>
        <v>-3684.1657615212853</v>
      </c>
      <c r="L138" s="102">
        <f t="shared" si="17"/>
        <v>-2155.123422144815</v>
      </c>
      <c r="M138" s="74"/>
    </row>
    <row r="139" spans="1:6" ht="12.75">
      <c r="A139" s="28"/>
      <c r="B139" s="1"/>
      <c r="C139" s="1"/>
      <c r="D139" s="1"/>
      <c r="F139" s="2"/>
    </row>
    <row r="140" spans="1:6" ht="12.75">
      <c r="A140" s="1"/>
      <c r="B140" s="1"/>
      <c r="C140" s="1"/>
      <c r="D140" s="1"/>
      <c r="F140" s="2"/>
    </row>
    <row r="141" spans="1:6" ht="12.75">
      <c r="A141" s="153" t="s">
        <v>112</v>
      </c>
      <c r="B141" s="154" t="s">
        <v>121</v>
      </c>
      <c r="C141" s="147"/>
      <c r="D141" s="147"/>
      <c r="E141" s="148"/>
      <c r="F141" s="149"/>
    </row>
    <row r="142" spans="1:6" s="12" customFormat="1" ht="12.75">
      <c r="A142" s="85" t="s">
        <v>113</v>
      </c>
      <c r="B142" s="86" t="s">
        <v>114</v>
      </c>
      <c r="C142" s="86" t="s">
        <v>115</v>
      </c>
      <c r="D142" s="86" t="s">
        <v>116</v>
      </c>
      <c r="E142" s="76" t="s">
        <v>117</v>
      </c>
      <c r="F142" s="112" t="s">
        <v>118</v>
      </c>
    </row>
    <row r="143" spans="1:6" ht="12.75">
      <c r="A143" s="85">
        <v>3500</v>
      </c>
      <c r="B143" s="86">
        <v>27</v>
      </c>
      <c r="C143" s="86">
        <v>37.76223776223776</v>
      </c>
      <c r="D143" s="86">
        <v>28.170629370629367</v>
      </c>
      <c r="E143" s="76">
        <v>45.16694921125822</v>
      </c>
      <c r="F143" s="112">
        <v>33.69454411159863</v>
      </c>
    </row>
    <row r="144" spans="1:6" ht="12.75">
      <c r="A144" s="85">
        <v>4000</v>
      </c>
      <c r="B144" s="86">
        <v>30.5</v>
      </c>
      <c r="C144" s="86">
        <v>42.65734265734265</v>
      </c>
      <c r="D144" s="86">
        <v>31.82237762237762</v>
      </c>
      <c r="E144" s="76">
        <v>51.02192410901391</v>
      </c>
      <c r="F144" s="112">
        <v>38.06235538532437</v>
      </c>
    </row>
    <row r="145" spans="1:6" ht="12.75">
      <c r="A145" s="85">
        <v>5000</v>
      </c>
      <c r="B145" s="86">
        <v>48</v>
      </c>
      <c r="C145" s="86">
        <v>67.13286713286713</v>
      </c>
      <c r="D145" s="86">
        <v>50.08111888111888</v>
      </c>
      <c r="E145" s="76">
        <v>80.29679859779239</v>
      </c>
      <c r="F145" s="112">
        <v>59.90141175395312</v>
      </c>
    </row>
    <row r="146" spans="1:6" s="12" customFormat="1" ht="12.75">
      <c r="A146" s="85">
        <v>6000</v>
      </c>
      <c r="B146" s="86">
        <v>54.5</v>
      </c>
      <c r="C146" s="86">
        <v>76.22377622377621</v>
      </c>
      <c r="D146" s="86">
        <v>56.86293706293706</v>
      </c>
      <c r="E146" s="76">
        <v>91.1703234079101</v>
      </c>
      <c r="F146" s="112">
        <v>68.01306126230094</v>
      </c>
    </row>
    <row r="147" spans="1:6" ht="12.75">
      <c r="A147" s="85">
        <v>7000</v>
      </c>
      <c r="B147" s="86">
        <v>60</v>
      </c>
      <c r="C147" s="86">
        <v>83.91608391608392</v>
      </c>
      <c r="D147" s="86">
        <v>62.60139860139861</v>
      </c>
      <c r="E147" s="76">
        <v>100.3709982472405</v>
      </c>
      <c r="F147" s="112">
        <v>74.87676469244141</v>
      </c>
    </row>
    <row r="148" spans="1:6" ht="12.75">
      <c r="A148" s="85">
        <v>8000</v>
      </c>
      <c r="B148" s="86">
        <v>69.5</v>
      </c>
      <c r="C148" s="86">
        <v>97.2027972027972</v>
      </c>
      <c r="D148" s="86">
        <v>72.51328671328672</v>
      </c>
      <c r="E148" s="76">
        <v>116.26307296972023</v>
      </c>
      <c r="F148" s="112">
        <v>86.73225243541128</v>
      </c>
    </row>
    <row r="149" spans="1:6" s="12" customFormat="1" ht="12.75">
      <c r="A149" s="85">
        <v>9000</v>
      </c>
      <c r="B149" s="86">
        <v>78</v>
      </c>
      <c r="C149" s="86">
        <v>109.09090909090908</v>
      </c>
      <c r="D149" s="86">
        <v>81.38181818181818</v>
      </c>
      <c r="E149" s="76">
        <v>130.48229772141264</v>
      </c>
      <c r="F149" s="112">
        <v>97.33979410017382</v>
      </c>
    </row>
    <row r="150" spans="1:6" ht="12.75">
      <c r="A150" s="85">
        <v>9600</v>
      </c>
      <c r="B150" s="86">
        <v>75.5</v>
      </c>
      <c r="C150" s="86">
        <v>105.5944055944056</v>
      </c>
      <c r="D150" s="86">
        <v>78.77342657342658</v>
      </c>
      <c r="E150" s="76">
        <v>126.3001727944443</v>
      </c>
      <c r="F150" s="112">
        <v>94.21992890465545</v>
      </c>
    </row>
    <row r="151" spans="1:6" ht="12.75">
      <c r="A151" s="85"/>
      <c r="B151" s="86"/>
      <c r="C151" s="86"/>
      <c r="D151" s="86"/>
      <c r="E151" s="76"/>
      <c r="F151" s="112"/>
    </row>
    <row r="152" spans="1:6" ht="12.75">
      <c r="A152" s="92"/>
      <c r="B152" s="78"/>
      <c r="C152" s="76"/>
      <c r="D152" s="76"/>
      <c r="E152" s="76"/>
      <c r="F152" s="150"/>
    </row>
    <row r="153" spans="1:6" ht="12.75">
      <c r="A153" s="92"/>
      <c r="B153" s="78"/>
      <c r="C153" s="76"/>
      <c r="D153" s="76"/>
      <c r="E153" s="76"/>
      <c r="F153" s="150"/>
    </row>
    <row r="154" spans="1:6" ht="12.75">
      <c r="A154" s="92" t="s">
        <v>119</v>
      </c>
      <c r="B154" s="78">
        <v>71.5</v>
      </c>
      <c r="C154" s="76"/>
      <c r="D154" s="76"/>
      <c r="E154" s="76"/>
      <c r="F154" s="150"/>
    </row>
    <row r="155" spans="1:6" ht="12.75">
      <c r="A155" s="101" t="s">
        <v>120</v>
      </c>
      <c r="B155" s="151">
        <v>0.836059074648</v>
      </c>
      <c r="C155" s="146"/>
      <c r="D155" s="146"/>
      <c r="E155" s="146"/>
      <c r="F155" s="152"/>
    </row>
    <row r="156" spans="1:2" ht="12.75">
      <c r="A156" s="7"/>
      <c r="B156" s="7"/>
    </row>
    <row r="157" spans="1:2" ht="12.75">
      <c r="A157" s="7"/>
      <c r="B157" s="7"/>
    </row>
    <row r="158" spans="1:2" ht="12.75">
      <c r="A158" s="7"/>
      <c r="B158" s="7"/>
    </row>
    <row r="159" spans="1:2" ht="12.75">
      <c r="A159" s="7"/>
      <c r="B159" s="7"/>
    </row>
    <row r="160" spans="1:2" ht="12.75">
      <c r="A160" s="7"/>
      <c r="B160" s="7"/>
    </row>
    <row r="161" spans="1:2" ht="12.75">
      <c r="A161" s="7"/>
      <c r="B161" s="7"/>
    </row>
    <row r="162" spans="1:2" ht="12.75">
      <c r="A162" s="7"/>
      <c r="B162" s="7"/>
    </row>
    <row r="163" spans="1:2" ht="12.75">
      <c r="A163" s="7"/>
      <c r="B163" s="7"/>
    </row>
    <row r="164" spans="1:2" ht="12.75">
      <c r="A164" s="7"/>
      <c r="B164" s="7"/>
    </row>
    <row r="165" spans="1:2" ht="12.75">
      <c r="A165" s="7"/>
      <c r="B165" s="7"/>
    </row>
    <row r="166" spans="1:2" ht="12.75">
      <c r="A166" s="7"/>
      <c r="B166" s="7"/>
    </row>
    <row r="167" spans="1:2" ht="12.75">
      <c r="A167" s="7"/>
      <c r="B167" s="7"/>
    </row>
    <row r="168" spans="1:2" ht="12.75">
      <c r="A168" s="7"/>
      <c r="B168" s="7"/>
    </row>
    <row r="169" spans="1:2" ht="12.75">
      <c r="A169" s="7"/>
      <c r="B169" s="7"/>
    </row>
    <row r="170" spans="1:2" ht="12.75">
      <c r="A170" s="7"/>
      <c r="B170" s="7"/>
    </row>
    <row r="171" spans="1:2" ht="12.75">
      <c r="A171" s="7"/>
      <c r="B171" s="7"/>
    </row>
    <row r="172" spans="1:2" ht="12.75">
      <c r="A172" s="7"/>
      <c r="B172" s="7"/>
    </row>
    <row r="173" spans="1:2" ht="12.75">
      <c r="A173" s="7"/>
      <c r="B173" s="7"/>
    </row>
    <row r="174" spans="1:2" ht="12.75">
      <c r="A174" s="7"/>
      <c r="B174" s="7"/>
    </row>
    <row r="175" spans="1:2" ht="12.75">
      <c r="A175" s="7"/>
      <c r="B175" s="7"/>
    </row>
    <row r="176" spans="1:2" ht="12.75">
      <c r="A176" s="7"/>
      <c r="B176" s="7"/>
    </row>
    <row r="177" spans="1:2" ht="12.75">
      <c r="A177" s="7"/>
      <c r="B177" s="7"/>
    </row>
    <row r="178" spans="1:2" ht="12.75">
      <c r="A178" s="7"/>
      <c r="B178" s="7"/>
    </row>
    <row r="179" spans="1:2" ht="12.75">
      <c r="A179" s="7"/>
      <c r="B179" s="7"/>
    </row>
    <row r="180" spans="1:2" ht="12.75">
      <c r="A180" s="7"/>
      <c r="B180" s="7"/>
    </row>
    <row r="181" spans="1:2" ht="12.75">
      <c r="A181" s="7"/>
      <c r="B181" s="7"/>
    </row>
    <row r="182" spans="1:2" ht="12.75">
      <c r="A182" s="7"/>
      <c r="B182" s="7"/>
    </row>
    <row r="183" spans="1:2" ht="12.75">
      <c r="A183" s="7"/>
      <c r="B183" s="7"/>
    </row>
    <row r="184" spans="1:2" ht="12.75">
      <c r="A184" s="7"/>
      <c r="B184" s="7"/>
    </row>
    <row r="185" spans="1:2" ht="12.75">
      <c r="A185" s="7"/>
      <c r="B185" s="7"/>
    </row>
    <row r="186" spans="1:2" ht="12.75">
      <c r="A186" s="7"/>
      <c r="B186" s="7"/>
    </row>
    <row r="187" spans="1:2" ht="12.75">
      <c r="A187" s="7"/>
      <c r="B187" s="7"/>
    </row>
    <row r="188" spans="1:2" ht="12.75">
      <c r="A188" s="7"/>
      <c r="B188" s="7"/>
    </row>
    <row r="189" spans="1:2" ht="12.75">
      <c r="A189" s="7"/>
      <c r="B189" s="7"/>
    </row>
    <row r="190" spans="1:2" ht="12.75">
      <c r="A190" s="7"/>
      <c r="B190" s="7"/>
    </row>
    <row r="191" spans="1:2" ht="12.75">
      <c r="A191" s="7"/>
      <c r="B191" s="7"/>
    </row>
    <row r="192" spans="1:2" ht="12.75">
      <c r="A192" s="7"/>
      <c r="B192" s="7"/>
    </row>
    <row r="193" spans="1:2" ht="12.75">
      <c r="A193" s="7"/>
      <c r="B193" s="7"/>
    </row>
    <row r="194" spans="1:2" ht="12.75">
      <c r="A194" s="7"/>
      <c r="B194" s="7"/>
    </row>
    <row r="195" spans="1:2" ht="12.75">
      <c r="A195" s="7"/>
      <c r="B195" s="7"/>
    </row>
    <row r="196" spans="1:2" ht="12.75">
      <c r="A196" s="7"/>
      <c r="B196" s="7"/>
    </row>
    <row r="197" spans="1:2" ht="12.75">
      <c r="A197" s="7"/>
      <c r="B197" s="7"/>
    </row>
    <row r="198" spans="1:2" ht="12.75">
      <c r="A198" s="7"/>
      <c r="B198" s="7"/>
    </row>
    <row r="199" spans="1:2" ht="12.75">
      <c r="A199" s="7"/>
      <c r="B199" s="7"/>
    </row>
    <row r="200" spans="1:2" ht="12.75">
      <c r="A200" s="7"/>
      <c r="B200" s="7"/>
    </row>
    <row r="201" spans="1:2" ht="12.75">
      <c r="A201" s="7"/>
      <c r="B201" s="7"/>
    </row>
    <row r="202" spans="1:2" ht="12.75">
      <c r="A202" s="7"/>
      <c r="B202" s="7"/>
    </row>
    <row r="203" spans="1:2" ht="12.75">
      <c r="A203" s="7"/>
      <c r="B203" s="7"/>
    </row>
    <row r="204" spans="1:2" ht="12.75">
      <c r="A204" s="7"/>
      <c r="B204" s="7"/>
    </row>
    <row r="205" spans="1:2" ht="12.75">
      <c r="A205" s="7"/>
      <c r="B205" s="7"/>
    </row>
    <row r="206" spans="1:2" ht="12.75">
      <c r="A206" s="7"/>
      <c r="B206" s="7"/>
    </row>
    <row r="207" spans="1:2" ht="12.75">
      <c r="A207" s="7"/>
      <c r="B207" s="7"/>
    </row>
    <row r="208" spans="1:2" ht="12.75">
      <c r="A208" s="7"/>
      <c r="B208" s="7"/>
    </row>
    <row r="209" spans="1:2" ht="12.75">
      <c r="A209" s="7"/>
      <c r="B209" s="7"/>
    </row>
    <row r="210" spans="1:2" ht="12.75">
      <c r="A210" s="7"/>
      <c r="B210" s="7"/>
    </row>
    <row r="211" spans="1:2" ht="12.75">
      <c r="A211" s="7"/>
      <c r="B211" s="7"/>
    </row>
    <row r="212" spans="1:2" ht="12.75">
      <c r="A212" s="7"/>
      <c r="B212" s="7"/>
    </row>
    <row r="213" spans="1:2" ht="12.75">
      <c r="A213" s="7"/>
      <c r="B213" s="7"/>
    </row>
    <row r="214" spans="1:2" ht="12.75">
      <c r="A214" s="7"/>
      <c r="B214" s="7"/>
    </row>
    <row r="215" spans="1:2" ht="12.75">
      <c r="A215" s="7"/>
      <c r="B215" s="7"/>
    </row>
    <row r="216" spans="1:2" ht="12.75">
      <c r="A216" s="7"/>
      <c r="B216" s="7"/>
    </row>
    <row r="217" spans="1:2" ht="12.75">
      <c r="A217" s="7"/>
      <c r="B217" s="7"/>
    </row>
    <row r="218" spans="1:2" ht="12.75">
      <c r="A218" s="7"/>
      <c r="B218" s="7"/>
    </row>
    <row r="219" spans="1:2" ht="12.75">
      <c r="A219" s="7"/>
      <c r="B219" s="7"/>
    </row>
    <row r="220" spans="1:2" ht="12.75">
      <c r="A220" s="7"/>
      <c r="B220" s="7"/>
    </row>
    <row r="221" spans="1:2" ht="12.75">
      <c r="A221" s="7"/>
      <c r="B221" s="7"/>
    </row>
    <row r="222" spans="1:2" ht="12.75">
      <c r="A222" s="7"/>
      <c r="B222" s="7"/>
    </row>
    <row r="223" spans="1:2" ht="12.75">
      <c r="A223" s="7"/>
      <c r="B223" s="7"/>
    </row>
    <row r="224" spans="1:2" ht="12.75">
      <c r="A224" s="7"/>
      <c r="B224" s="7"/>
    </row>
    <row r="225" spans="1:2" ht="12.75">
      <c r="A225" s="7"/>
      <c r="B225" s="7"/>
    </row>
    <row r="226" spans="1:2" ht="12.75">
      <c r="A226" s="7"/>
      <c r="B226" s="7"/>
    </row>
    <row r="227" spans="1:2" ht="12.75">
      <c r="A227" s="7"/>
      <c r="B227" s="7"/>
    </row>
    <row r="228" spans="1:2" ht="12.75">
      <c r="A228" s="7"/>
      <c r="B228" s="7"/>
    </row>
    <row r="229" spans="1:2" ht="12.75">
      <c r="A229" s="7"/>
      <c r="B229" s="7"/>
    </row>
    <row r="230" spans="1:2" ht="12.75">
      <c r="A230" s="7"/>
      <c r="B230" s="7"/>
    </row>
    <row r="231" spans="1:2" ht="12.75">
      <c r="A231" s="7"/>
      <c r="B231" s="7"/>
    </row>
    <row r="232" spans="1:2" ht="12.75">
      <c r="A232" s="7"/>
      <c r="B232" s="7"/>
    </row>
    <row r="233" spans="1:2" ht="12.75">
      <c r="A233" s="7"/>
      <c r="B233" s="7"/>
    </row>
    <row r="234" spans="1:2" ht="12.75">
      <c r="A234" s="7"/>
      <c r="B234" s="7"/>
    </row>
    <row r="235" spans="1:2" ht="12.75">
      <c r="A235" s="7"/>
      <c r="B235" s="7"/>
    </row>
    <row r="236" spans="1:2" ht="12.75">
      <c r="A236" s="7"/>
      <c r="B236" s="7"/>
    </row>
    <row r="237" spans="1:2" ht="12.75">
      <c r="A237" s="7"/>
      <c r="B237" s="7"/>
    </row>
    <row r="238" spans="1:2" ht="12.75">
      <c r="A238" s="7"/>
      <c r="B238" s="7"/>
    </row>
    <row r="239" spans="1:2" ht="12.75">
      <c r="A239" s="7"/>
      <c r="B239" s="7"/>
    </row>
  </sheetData>
  <printOptions/>
  <pageMargins left="0.75" right="0.75" top="1" bottom="1" header="0.5" footer="0.5"/>
  <pageSetup fitToHeight="1" fitToWidth="1" horizontalDpi="300" verticalDpi="300" orientation="portrait" paperSize="9" scale="3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9"/>
  <sheetViews>
    <sheetView zoomScale="75" zoomScaleNormal="75" workbookViewId="0" topLeftCell="A1">
      <selection activeCell="B24" sqref="B24"/>
    </sheetView>
  </sheetViews>
  <sheetFormatPr defaultColWidth="9.140625" defaultRowHeight="12.75"/>
  <cols>
    <col min="1" max="1" width="17.421875" style="5" customWidth="1"/>
    <col min="2" max="2" width="11.57421875" style="5" bestFit="1" customWidth="1"/>
    <col min="3" max="3" width="9.28125" style="5" bestFit="1" customWidth="1"/>
    <col min="4" max="4" width="8.8515625" style="5" bestFit="1" customWidth="1"/>
    <col min="5" max="5" width="8.140625" style="5" bestFit="1" customWidth="1"/>
    <col min="6" max="6" width="7.7109375" style="5" customWidth="1"/>
    <col min="7" max="7" width="11.00390625" style="5" bestFit="1" customWidth="1"/>
    <col min="8" max="8" width="8.8515625" style="5" bestFit="1" customWidth="1"/>
    <col min="9" max="9" width="9.57421875" style="5" bestFit="1" customWidth="1"/>
    <col min="10" max="10" width="7.57421875" style="5" bestFit="1" customWidth="1"/>
    <col min="11" max="11" width="7.7109375" style="5" customWidth="1"/>
    <col min="12" max="12" width="8.57421875" style="5" bestFit="1" customWidth="1"/>
    <col min="13" max="13" width="9.28125" style="5" bestFit="1" customWidth="1"/>
    <col min="14" max="14" width="9.57421875" style="5" bestFit="1" customWidth="1"/>
    <col min="15" max="18" width="9.140625" style="5" customWidth="1"/>
    <col min="19" max="19" width="9.57421875" style="5" bestFit="1" customWidth="1"/>
    <col min="20" max="16384" width="9.140625" style="5" customWidth="1"/>
  </cols>
  <sheetData>
    <row r="1" spans="1:5" ht="12.75">
      <c r="A1" s="4" t="s">
        <v>124</v>
      </c>
      <c r="D1" s="4" t="s">
        <v>101</v>
      </c>
      <c r="E1" s="5" t="s">
        <v>125</v>
      </c>
    </row>
    <row r="2" ht="12.75">
      <c r="A2" s="12" t="s">
        <v>100</v>
      </c>
    </row>
    <row r="3" spans="1:13" ht="13.5" thickBot="1">
      <c r="A3" s="4" t="s">
        <v>80</v>
      </c>
      <c r="D3" s="127"/>
      <c r="E3" s="59" t="s">
        <v>69</v>
      </c>
      <c r="F3" s="58"/>
      <c r="G3" s="58"/>
      <c r="H3" s="58"/>
      <c r="I3" s="58"/>
      <c r="J3" s="58"/>
      <c r="K3" s="59" t="s">
        <v>94</v>
      </c>
      <c r="L3" s="64"/>
      <c r="M3" s="60"/>
    </row>
    <row r="4" spans="1:13" ht="12.75">
      <c r="A4" s="38" t="s">
        <v>70</v>
      </c>
      <c r="B4" s="34" t="s">
        <v>13</v>
      </c>
      <c r="C4" s="33" t="s">
        <v>2</v>
      </c>
      <c r="D4" s="36" t="s">
        <v>75</v>
      </c>
      <c r="E4" s="61">
        <v>60</v>
      </c>
      <c r="F4" s="24" t="s">
        <v>18</v>
      </c>
      <c r="G4" s="128">
        <f>(a_ref1*1.609-INDEX($A$112:$I$138,MATCH(a_ref1*1.609,$A$112:$A$138,1),1))/(INDEX($A$112:$I$138,MATCH(a_ref1*1.609,$A$112:$A$138,1)+1,1)-INDEX($A$112:$I$138,MATCH(a_ref1*1.609,$A$112:$A$138,1),1))*(INDEX($A$112:$I$138,MATCH(a_ref1*1.609,$A$112:$A$138,1)+1,9)-INDEX($A$112:$I$138,MATCH(a_ref1*1.609,$A$112:$A$138,1),9))+INDEX($A$112:$I$138,MATCH(a_ref1*1.609,$A$112:$A$138,1),9)</f>
        <v>3.0646483365131987</v>
      </c>
      <c r="H4" s="61" t="s">
        <v>4</v>
      </c>
      <c r="I4" s="24"/>
      <c r="J4" s="24"/>
      <c r="K4" s="24" t="s">
        <v>2</v>
      </c>
      <c r="L4" s="129">
        <f>krpm11/krpm7</f>
        <v>1.8</v>
      </c>
      <c r="M4" s="72"/>
    </row>
    <row r="5" spans="1:13" ht="12.75">
      <c r="A5" s="16" t="s">
        <v>58</v>
      </c>
      <c r="B5" s="17"/>
      <c r="C5" s="39"/>
      <c r="D5" s="36" t="s">
        <v>75</v>
      </c>
      <c r="E5" s="61">
        <v>100</v>
      </c>
      <c r="F5" s="24" t="s">
        <v>18</v>
      </c>
      <c r="G5" s="128">
        <f>(a_ref2*1.609-INDEX($A$112:$I$138,MATCH(a_ref2*1.609,$A$112:$A$138,1),1))/(INDEX($A$112:$I$138,MATCH(a_ref2*1.609,$A$112:$A$138,1)+1,1)-INDEX($A$112:$I$138,MATCH(a_ref2*1.609,$A$112:$A$138,1),1))*(INDEX($A$112:$I$138,MATCH(a_ref2*1.609,$A$112:$A$138,1)+1,9)-INDEX($A$112:$I$138,MATCH(a_ref2*1.609,$A$112:$A$138,1),9))+INDEX($A$112:$I$138,MATCH(a_ref2*1.609,$A$112:$A$138,1),9)</f>
        <v>7.624100534016305</v>
      </c>
      <c r="H5" s="61" t="s">
        <v>4</v>
      </c>
      <c r="I5" s="24"/>
      <c r="J5" s="24"/>
      <c r="K5" s="24" t="s">
        <v>92</v>
      </c>
      <c r="L5" s="129">
        <f>Torque7/Torque11</f>
        <v>1.1612903225806455</v>
      </c>
      <c r="M5" s="72"/>
    </row>
    <row r="6" spans="1:13" ht="12.75">
      <c r="A6" s="16" t="s">
        <v>59</v>
      </c>
      <c r="B6" s="17"/>
      <c r="C6" s="39"/>
      <c r="D6" s="24"/>
      <c r="E6" s="61" t="s">
        <v>51</v>
      </c>
      <c r="F6" s="24"/>
      <c r="G6" s="130">
        <f>(402.336-INDEX($A$112:$L$138,MATCH(402.336,$L$112:$L$138,1),12))/(INDEX($A$112:$L$138,MATCH(402.336,$L$112:$L$138,1)+1,12)-INDEX($A$112:$L$138,MATCH(402.336,$L$112:$L$138,1),12))*(INDEX($A$112:$L$138,MATCH(402.336,$L$112:$L$138,1)+1,9)-INDEX($A$112:$L$138,MATCH(402.336,$L$112:$L$138,1),9))+INDEX($A$112:$L$138,MATCH(402.336,$L$112:$L$138,1),9)</f>
        <v>11.527268926566453</v>
      </c>
      <c r="H6" s="61" t="s">
        <v>68</v>
      </c>
      <c r="I6" s="131">
        <f>((402.336-INDEX($A$112:$L$138,MATCH(402.336,$L$112:$L$138,1),12))/(INDEX($A$112:$L$138,MATCH(402.336,$L$112:$L$138,1)+1,12)-INDEX($A$112:$L$138,MATCH(402.336,$L$112:$L$138,1),12))*(INDEX($A$112:$L$138,MATCH(402.336,$L$112:$L$138,1)+1,1)-INDEX($A$112:$L$138,MATCH(402.336,$L$112:$L$138,1),1))+INDEX($A$112:$L$138,MATCH(402.336,$L$112:$L$138,1),1))/1.609</f>
        <v>119.39779910552754</v>
      </c>
      <c r="J6" s="61" t="s">
        <v>18</v>
      </c>
      <c r="K6" s="61" t="s">
        <v>93</v>
      </c>
      <c r="L6" s="155">
        <f>L4*L5</f>
        <v>2.0903225806451617</v>
      </c>
      <c r="M6" s="72"/>
    </row>
    <row r="7" spans="1:19" ht="12.75">
      <c r="A7" s="16" t="s">
        <v>60</v>
      </c>
      <c r="B7" s="17"/>
      <c r="C7" s="39"/>
      <c r="D7" s="107"/>
      <c r="E7" s="146" t="s">
        <v>108</v>
      </c>
      <c r="F7" s="107"/>
      <c r="G7" s="107"/>
      <c r="H7" s="132"/>
      <c r="I7" s="107"/>
      <c r="J7" s="107"/>
      <c r="K7" s="107"/>
      <c r="L7" s="74"/>
      <c r="M7" s="74"/>
      <c r="S7" s="35"/>
    </row>
    <row r="8" spans="1:4" ht="12.75">
      <c r="A8" s="16" t="s">
        <v>61</v>
      </c>
      <c r="B8" s="17"/>
      <c r="C8" s="39"/>
      <c r="D8" s="24"/>
    </row>
    <row r="9" spans="1:4" ht="12.75">
      <c r="A9" s="16" t="s">
        <v>62</v>
      </c>
      <c r="B9" s="17">
        <v>27.229</v>
      </c>
      <c r="C9" s="39">
        <v>3000</v>
      </c>
      <c r="D9" s="24"/>
    </row>
    <row r="10" spans="1:4" ht="12.75">
      <c r="A10" s="16" t="s">
        <v>63</v>
      </c>
      <c r="B10" s="17">
        <v>39.911</v>
      </c>
      <c r="C10" s="39">
        <v>4000</v>
      </c>
      <c r="D10" s="24"/>
    </row>
    <row r="11" spans="1:4" ht="12.75">
      <c r="A11" s="16" t="s">
        <v>64</v>
      </c>
      <c r="B11" s="17">
        <v>53.712</v>
      </c>
      <c r="C11" s="39">
        <v>5000</v>
      </c>
      <c r="D11" s="24"/>
    </row>
    <row r="12" spans="1:4" ht="12.75">
      <c r="A12" s="16" t="s">
        <v>76</v>
      </c>
      <c r="B12" s="17">
        <v>61.918</v>
      </c>
      <c r="C12" s="39">
        <v>6000</v>
      </c>
      <c r="D12" s="24"/>
    </row>
    <row r="13" spans="1:4" ht="12.75">
      <c r="A13" s="16" t="s">
        <v>89</v>
      </c>
      <c r="B13" s="17">
        <v>67.513</v>
      </c>
      <c r="C13" s="39">
        <v>7000</v>
      </c>
      <c r="D13" s="24"/>
    </row>
    <row r="14" spans="1:4" ht="12.75">
      <c r="A14" s="16" t="s">
        <v>90</v>
      </c>
      <c r="B14" s="17">
        <v>77.211</v>
      </c>
      <c r="C14" s="39">
        <v>8000</v>
      </c>
      <c r="D14" s="24"/>
    </row>
    <row r="15" spans="1:4" ht="12.75">
      <c r="A15" s="16" t="s">
        <v>91</v>
      </c>
      <c r="B15" s="17">
        <v>83.25359999999999</v>
      </c>
      <c r="C15" s="39">
        <v>9000</v>
      </c>
      <c r="D15" s="24"/>
    </row>
    <row r="16" spans="1:4" ht="13.5" thickBot="1">
      <c r="A16" s="19" t="s">
        <v>65</v>
      </c>
      <c r="B16" s="20">
        <v>82.06</v>
      </c>
      <c r="C16" s="40">
        <v>9600</v>
      </c>
      <c r="D16" s="24" t="s">
        <v>20</v>
      </c>
    </row>
    <row r="17" spans="1:5" ht="12.75">
      <c r="A17" s="115" t="s">
        <v>33</v>
      </c>
      <c r="B17" s="120">
        <v>0.2</v>
      </c>
      <c r="C17" s="15"/>
      <c r="D17" s="15"/>
      <c r="E17" s="13"/>
    </row>
    <row r="18" spans="1:5" ht="12.75">
      <c r="A18" s="16" t="s">
        <v>71</v>
      </c>
      <c r="B18" s="121">
        <v>1</v>
      </c>
      <c r="C18" s="24" t="s">
        <v>66</v>
      </c>
      <c r="D18" s="24"/>
      <c r="E18" s="18"/>
    </row>
    <row r="19" spans="1:5" ht="12.75">
      <c r="A19" s="16" t="s">
        <v>72</v>
      </c>
      <c r="B19" s="121">
        <v>0.25</v>
      </c>
      <c r="C19" s="24" t="s">
        <v>4</v>
      </c>
      <c r="D19" s="24"/>
      <c r="E19" s="18"/>
    </row>
    <row r="20" spans="1:5" ht="12.75">
      <c r="A20" s="16" t="s">
        <v>23</v>
      </c>
      <c r="B20" s="122">
        <v>0.0466</v>
      </c>
      <c r="C20" s="123" t="s">
        <v>85</v>
      </c>
      <c r="D20" s="24"/>
      <c r="E20" s="18"/>
    </row>
    <row r="21" spans="1:5" ht="12.75">
      <c r="A21" s="16" t="s">
        <v>24</v>
      </c>
      <c r="B21" s="134">
        <v>0.0462</v>
      </c>
      <c r="C21" s="123" t="s">
        <v>86</v>
      </c>
      <c r="D21" s="24"/>
      <c r="E21" s="18"/>
    </row>
    <row r="22" spans="1:5" ht="12.75">
      <c r="A22" s="16" t="s">
        <v>84</v>
      </c>
      <c r="B22" s="134">
        <v>0.0806</v>
      </c>
      <c r="C22" s="123" t="s">
        <v>87</v>
      </c>
      <c r="D22" s="24"/>
      <c r="E22" s="18"/>
    </row>
    <row r="23" spans="1:5" ht="12.75">
      <c r="A23" s="16" t="s">
        <v>36</v>
      </c>
      <c r="B23" s="116">
        <v>10</v>
      </c>
      <c r="C23" s="24" t="s">
        <v>6</v>
      </c>
      <c r="D23" s="24"/>
      <c r="E23" s="18"/>
    </row>
    <row r="24" spans="1:5" ht="12.75">
      <c r="A24" s="16" t="s">
        <v>22</v>
      </c>
      <c r="B24" s="116">
        <v>102</v>
      </c>
      <c r="C24" s="24" t="s">
        <v>6</v>
      </c>
      <c r="D24" s="24"/>
      <c r="E24" s="18"/>
    </row>
    <row r="25" spans="1:5" ht="12.75">
      <c r="A25" s="16" t="s">
        <v>12</v>
      </c>
      <c r="B25" s="116">
        <v>232</v>
      </c>
      <c r="C25" s="24" t="s">
        <v>73</v>
      </c>
      <c r="D25" s="116">
        <v>8882</v>
      </c>
      <c r="E25" s="18" t="s">
        <v>2</v>
      </c>
    </row>
    <row r="26" spans="1:5" ht="13.5" thickBot="1">
      <c r="A26" s="19" t="s">
        <v>77</v>
      </c>
      <c r="B26" s="124">
        <v>251</v>
      </c>
      <c r="C26" s="125" t="s">
        <v>78</v>
      </c>
      <c r="D26" s="126">
        <f>Vmax_actual/1.609</f>
        <v>155.9975139838409</v>
      </c>
      <c r="E26" s="21" t="s">
        <v>18</v>
      </c>
    </row>
    <row r="27" ht="12.75"/>
    <row r="28" ht="13.5" thickBot="1">
      <c r="A28" s="4" t="s">
        <v>19</v>
      </c>
    </row>
    <row r="29" spans="1:4" ht="12.75">
      <c r="A29" s="14"/>
      <c r="B29" s="15" t="s">
        <v>9</v>
      </c>
      <c r="C29" s="15" t="s">
        <v>10</v>
      </c>
      <c r="D29" s="13" t="s">
        <v>67</v>
      </c>
    </row>
    <row r="30" spans="1:4" ht="12.75">
      <c r="A30" s="22" t="s">
        <v>25</v>
      </c>
      <c r="B30" s="41">
        <v>105</v>
      </c>
      <c r="C30" s="41">
        <v>60</v>
      </c>
      <c r="D30" s="18"/>
    </row>
    <row r="31" spans="1:4" ht="12.75">
      <c r="A31" s="22" t="s">
        <v>26</v>
      </c>
      <c r="B31" s="41">
        <v>41</v>
      </c>
      <c r="C31" s="41">
        <v>15</v>
      </c>
      <c r="D31" s="31">
        <f>Crown_p/Pinion_p*Crown_1/Pinion_1*Crown_f/Pinion_f</f>
        <v>11.426851851851852</v>
      </c>
    </row>
    <row r="32" spans="1:4" ht="12.75">
      <c r="A32" s="22" t="s">
        <v>27</v>
      </c>
      <c r="B32" s="41">
        <v>37</v>
      </c>
      <c r="C32" s="41">
        <v>19</v>
      </c>
      <c r="D32" s="31">
        <f>Crown_p/Pinion_p*Crown_2/Pinion_2*Crown_f/Pinion_f</f>
        <v>8.14108187134503</v>
      </c>
    </row>
    <row r="33" spans="1:4" ht="12.75">
      <c r="A33" s="22" t="s">
        <v>28</v>
      </c>
      <c r="B33" s="41">
        <v>34</v>
      </c>
      <c r="C33" s="41">
        <v>22</v>
      </c>
      <c r="D33" s="31">
        <f>Crown_p/Pinion_p*Crown_3/Pinion_3*Crown_f/Pinion_f</f>
        <v>6.460858585858586</v>
      </c>
    </row>
    <row r="34" spans="1:4" ht="12.75">
      <c r="A34" s="22" t="s">
        <v>29</v>
      </c>
      <c r="B34" s="41">
        <v>31</v>
      </c>
      <c r="C34" s="41">
        <v>24</v>
      </c>
      <c r="D34" s="31">
        <f>Crown_p/Pinion_p*Crown_4/Pinion_4*Crown_f/Pinion_f</f>
        <v>5.399884259259259</v>
      </c>
    </row>
    <row r="35" spans="1:4" ht="12.75">
      <c r="A35" s="22" t="s">
        <v>30</v>
      </c>
      <c r="B35" s="41">
        <v>30</v>
      </c>
      <c r="C35" s="41">
        <v>26</v>
      </c>
      <c r="D35" s="31">
        <f>Crown_p/Pinion_p*Crown_5/Pinion_5*Crown_f/Pinion_f</f>
        <v>4.823717948717949</v>
      </c>
    </row>
    <row r="36" spans="1:4" ht="12.75">
      <c r="A36" s="22" t="s">
        <v>31</v>
      </c>
      <c r="B36" s="41">
        <v>29</v>
      </c>
      <c r="C36" s="41">
        <v>27</v>
      </c>
      <c r="D36" s="31">
        <f>Crown_p/Pinion_p*Crown_6/Pinion_6*Crown_f/Pinion_f</f>
        <v>4.49022633744856</v>
      </c>
    </row>
    <row r="37" spans="1:4" ht="13.5" thickBot="1">
      <c r="A37" s="23" t="s">
        <v>32</v>
      </c>
      <c r="B37" s="42">
        <v>43</v>
      </c>
      <c r="C37" s="42">
        <v>18</v>
      </c>
      <c r="D37" s="21"/>
    </row>
    <row r="38" spans="1:3" ht="12.75">
      <c r="A38" s="115" t="s">
        <v>21</v>
      </c>
      <c r="B38" s="135">
        <v>207</v>
      </c>
      <c r="C38" s="136" t="s">
        <v>6</v>
      </c>
    </row>
    <row r="39" spans="1:3" ht="12.75">
      <c r="A39" s="16" t="s">
        <v>34</v>
      </c>
      <c r="B39" s="137">
        <v>10</v>
      </c>
      <c r="C39" s="138" t="s">
        <v>109</v>
      </c>
    </row>
    <row r="40" spans="1:3" ht="12.75">
      <c r="A40" s="16" t="s">
        <v>56</v>
      </c>
      <c r="B40" s="139">
        <v>4</v>
      </c>
      <c r="C40" s="138" t="s">
        <v>37</v>
      </c>
    </row>
    <row r="41" spans="1:3" ht="12.75">
      <c r="A41" s="16" t="s">
        <v>57</v>
      </c>
      <c r="B41" s="139">
        <v>0.918</v>
      </c>
      <c r="C41" s="138" t="s">
        <v>37</v>
      </c>
    </row>
    <row r="42" spans="1:3" ht="12.75">
      <c r="A42" s="16" t="s">
        <v>35</v>
      </c>
      <c r="B42" s="140">
        <v>2.8</v>
      </c>
      <c r="C42" s="138" t="s">
        <v>37</v>
      </c>
    </row>
    <row r="43" spans="1:3" ht="12.75">
      <c r="A43" s="16" t="s">
        <v>38</v>
      </c>
      <c r="B43" s="91">
        <f>SUM(M_bike,V_fuel*0.7,(V_oil+V_fork)*0.9,V_water,M_accessories,M_rider)</f>
        <v>333.2262</v>
      </c>
      <c r="C43" s="138" t="s">
        <v>6</v>
      </c>
    </row>
    <row r="44" spans="1:3" ht="12.75">
      <c r="A44" s="16" t="s">
        <v>83</v>
      </c>
      <c r="B44" s="117">
        <f>(1-Loss_crank_gearbox)*(1-Loss_gearbox_wheel)*(1-Loss_wheel_road)</f>
        <v>0.836059074648</v>
      </c>
      <c r="C44" s="18"/>
    </row>
    <row r="45" spans="1:3" ht="12.75">
      <c r="A45" s="16" t="s">
        <v>39</v>
      </c>
      <c r="B45" s="118">
        <f>Gearing_v*1000/3600/(Gearing_rpm/Ratio6/60*2*PI())</f>
        <v>0.31111025743427606</v>
      </c>
      <c r="C45" s="18" t="s">
        <v>81</v>
      </c>
    </row>
    <row r="46" spans="1:3" ht="12.75">
      <c r="A46" s="16" t="s">
        <v>45</v>
      </c>
      <c r="B46" s="89">
        <f>vmax6*1000/3600</f>
        <v>69.65398183592283</v>
      </c>
      <c r="C46" s="18" t="s">
        <v>0</v>
      </c>
    </row>
    <row r="47" spans="1:3" ht="13.5" thickBot="1">
      <c r="A47" s="19" t="s">
        <v>46</v>
      </c>
      <c r="B47" s="119">
        <v>0</v>
      </c>
      <c r="C47" s="21" t="s">
        <v>47</v>
      </c>
    </row>
    <row r="48" spans="1:8" ht="12.75">
      <c r="A48"/>
      <c r="B48"/>
      <c r="C48"/>
      <c r="D48"/>
      <c r="E48" s="6"/>
      <c r="F48"/>
      <c r="G48"/>
      <c r="H48"/>
    </row>
    <row r="49" spans="1:8" s="4" customFormat="1" ht="12.75">
      <c r="A49" s="46" t="s">
        <v>11</v>
      </c>
      <c r="B49" s="47"/>
      <c r="C49" s="47"/>
      <c r="D49" s="47"/>
      <c r="E49" s="48"/>
      <c r="F49" s="47"/>
      <c r="G49" s="47"/>
      <c r="H49" s="49"/>
    </row>
    <row r="50" spans="1:8" s="4" customFormat="1" ht="12.75">
      <c r="A50" s="50" t="s">
        <v>7</v>
      </c>
      <c r="B50" s="51">
        <v>1</v>
      </c>
      <c r="C50" s="51">
        <v>2</v>
      </c>
      <c r="D50" s="51">
        <v>3</v>
      </c>
      <c r="E50" s="51">
        <v>4</v>
      </c>
      <c r="F50" s="51">
        <v>5</v>
      </c>
      <c r="G50" s="51">
        <v>6</v>
      </c>
      <c r="H50" s="52"/>
    </row>
    <row r="51" spans="1:14" ht="12.75">
      <c r="A51" s="53">
        <f>krpm0</f>
        <v>0</v>
      </c>
      <c r="B51" s="41">
        <v>0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54"/>
      <c r="N51" s="32"/>
    </row>
    <row r="52" spans="1:14" ht="12.75">
      <c r="A52" s="55">
        <f>krpmMax</f>
        <v>9.6</v>
      </c>
      <c r="B52" s="56">
        <f>vmax6*Ratio6/Ratio1</f>
        <v>98.5349011337445</v>
      </c>
      <c r="C52" s="56">
        <f>vmax6*Ratio6/Ratio2</f>
        <v>138.30394231204858</v>
      </c>
      <c r="D52" s="56">
        <f>vmax6*Ratio6/Ratio3</f>
        <v>174.2715310247795</v>
      </c>
      <c r="E52" s="56">
        <f>vmax6*Ratio6/Ratio4</f>
        <v>208.51256497979483</v>
      </c>
      <c r="F52" s="56">
        <f>vmax6*Ratio6/Ratio5</f>
        <v>233.41823246349253</v>
      </c>
      <c r="G52" s="56">
        <f>rpmMax/Gearing_rpm*Gearing_v</f>
        <v>250.75433460932223</v>
      </c>
      <c r="H52" s="57" t="s">
        <v>1</v>
      </c>
      <c r="N52" s="32"/>
    </row>
    <row r="53" ht="12.75"/>
    <row r="54" spans="2:9" ht="12.75">
      <c r="B54" s="46" t="s">
        <v>82</v>
      </c>
      <c r="C54" s="108"/>
      <c r="D54" s="133"/>
      <c r="E54" s="133"/>
      <c r="F54" s="58"/>
      <c r="G54" s="58"/>
      <c r="H54" s="58"/>
      <c r="I54" s="60"/>
    </row>
    <row r="55" spans="1:10" ht="12.75">
      <c r="A55" s="10" t="s">
        <v>7</v>
      </c>
      <c r="B55" s="50" t="s">
        <v>107</v>
      </c>
      <c r="C55" s="52" t="s">
        <v>8</v>
      </c>
      <c r="D55" s="47"/>
      <c r="E55" s="58"/>
      <c r="F55" s="47" t="s">
        <v>102</v>
      </c>
      <c r="G55" s="59"/>
      <c r="H55" s="58"/>
      <c r="I55" s="60"/>
      <c r="J55" s="11"/>
    </row>
    <row r="56" spans="1:10" ht="12.75">
      <c r="A56" s="11"/>
      <c r="B56" s="109" t="s">
        <v>13</v>
      </c>
      <c r="C56" s="110" t="s">
        <v>3</v>
      </c>
      <c r="D56" s="51">
        <v>1</v>
      </c>
      <c r="E56" s="61">
        <v>2</v>
      </c>
      <c r="F56" s="51">
        <v>3</v>
      </c>
      <c r="G56" s="61">
        <v>4</v>
      </c>
      <c r="H56" s="61">
        <v>5</v>
      </c>
      <c r="I56" s="62">
        <v>6</v>
      </c>
      <c r="J56" s="11"/>
    </row>
    <row r="57" spans="1:10" ht="12.75">
      <c r="A57" s="11">
        <v>0</v>
      </c>
      <c r="B57" s="111"/>
      <c r="C57" s="112"/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44">
        <v>0</v>
      </c>
      <c r="J57" s="25"/>
    </row>
    <row r="58" spans="1:10" ht="12.75">
      <c r="A58" s="11">
        <f>rpm1/1000</f>
        <v>0</v>
      </c>
      <c r="B58" s="111">
        <f>cPower1</f>
        <v>0</v>
      </c>
      <c r="C58" s="112" t="e">
        <f>Power1/(krpm1*1000/60*2*PI())*1000</f>
        <v>#DIV/0!</v>
      </c>
      <c r="D58" s="37">
        <f>krpm1/krpmMax*vmax1</f>
        <v>0</v>
      </c>
      <c r="E58" s="37">
        <f>krpm1/krpmMax*vmax2</f>
        <v>0</v>
      </c>
      <c r="F58" s="37">
        <f>krpm1/krpmMax*vmax3</f>
        <v>0</v>
      </c>
      <c r="G58" s="37">
        <f>krpm1/krpmMax*vmax4</f>
        <v>0</v>
      </c>
      <c r="H58" s="37">
        <f>krpm1/krpmMax*vmax5</f>
        <v>0</v>
      </c>
      <c r="I58" s="44">
        <f>krpm1/krpmMax*vmax6</f>
        <v>0</v>
      </c>
      <c r="J58" s="25"/>
    </row>
    <row r="59" spans="1:10" ht="12.75">
      <c r="A59" s="11">
        <f>rpm2/1000</f>
        <v>0</v>
      </c>
      <c r="B59" s="111">
        <f>cPower2</f>
        <v>0</v>
      </c>
      <c r="C59" s="112" t="e">
        <f>Power2/(krpm2*1000/60*2*PI())*1000</f>
        <v>#DIV/0!</v>
      </c>
      <c r="D59" s="37">
        <f>krpm2/krpmMax*vmax1</f>
        <v>0</v>
      </c>
      <c r="E59" s="37">
        <f>krpm2/krpmMax*vmax2</f>
        <v>0</v>
      </c>
      <c r="F59" s="37">
        <f>krpm2/krpmMax*vmax3</f>
        <v>0</v>
      </c>
      <c r="G59" s="37">
        <f>krpm2/krpmMax*vmax4</f>
        <v>0</v>
      </c>
      <c r="H59" s="37">
        <f>krpm2/krpmMax*vmax5</f>
        <v>0</v>
      </c>
      <c r="I59" s="44">
        <f>krpm2/krpmMax*vmax6</f>
        <v>0</v>
      </c>
      <c r="J59" s="25"/>
    </row>
    <row r="60" spans="1:10" ht="12.75">
      <c r="A60" s="11">
        <f>rpm3/1000</f>
        <v>0</v>
      </c>
      <c r="B60" s="111">
        <f>cPower3</f>
        <v>0</v>
      </c>
      <c r="C60" s="112" t="e">
        <f>Power3/(krpm3*1000/60*2*PI())*1000</f>
        <v>#DIV/0!</v>
      </c>
      <c r="D60" s="37">
        <f>krpm3/krpmMax*vmax1</f>
        <v>0</v>
      </c>
      <c r="E60" s="37">
        <f>krpm3/krpmMax*vmax2</f>
        <v>0</v>
      </c>
      <c r="F60" s="37">
        <f>krpm3/krpmMax*vmax3</f>
        <v>0</v>
      </c>
      <c r="G60" s="37">
        <f>krpm3/krpmMax*vmax4</f>
        <v>0</v>
      </c>
      <c r="H60" s="37">
        <f>krpm3/krpmMax*vmax5</f>
        <v>0</v>
      </c>
      <c r="I60" s="44">
        <f>krpm3/krpmMax*vmax6</f>
        <v>0</v>
      </c>
      <c r="J60" s="25"/>
    </row>
    <row r="61" spans="1:10" ht="12.75">
      <c r="A61" s="11">
        <f>rpm4/1000</f>
        <v>0</v>
      </c>
      <c r="B61" s="111">
        <f>cPower4</f>
        <v>0</v>
      </c>
      <c r="C61" s="112" t="e">
        <f>Power4/(krpm4*1000/60*2*PI())*1000</f>
        <v>#DIV/0!</v>
      </c>
      <c r="D61" s="37">
        <f>krpm4/krpmMax*vmax1</f>
        <v>0</v>
      </c>
      <c r="E61" s="37">
        <f>krpm4/krpmMax*vmax2</f>
        <v>0</v>
      </c>
      <c r="F61" s="37">
        <f>krpm4/krpmMax*vmax3</f>
        <v>0</v>
      </c>
      <c r="G61" s="37">
        <f>krpm4/krpmMax*vmax4</f>
        <v>0</v>
      </c>
      <c r="H61" s="37">
        <f>krpm4/krpmMax*vmax5</f>
        <v>0</v>
      </c>
      <c r="I61" s="44">
        <f>krpm4/krpmMax*vmax6</f>
        <v>0</v>
      </c>
      <c r="J61" s="25"/>
    </row>
    <row r="62" spans="1:10" ht="12.75">
      <c r="A62" s="11">
        <f>rpm5/1000</f>
        <v>3</v>
      </c>
      <c r="B62" s="111">
        <f>cPower5</f>
        <v>27.229</v>
      </c>
      <c r="C62" s="112">
        <f>Power5/(krpm5*1000/60*2*PI())*1000</f>
        <v>86.67259890898437</v>
      </c>
      <c r="D62" s="37">
        <f>krpm5/krpmMax*vmax1</f>
        <v>30.792156604295155</v>
      </c>
      <c r="E62" s="37">
        <f>krpm5/krpmMax*vmax2</f>
        <v>43.21998197251518</v>
      </c>
      <c r="F62" s="37">
        <f>krpm5/krpmMax*vmax3</f>
        <v>54.459853445243596</v>
      </c>
      <c r="G62" s="37">
        <f>krpm5/krpmMax*vmax4</f>
        <v>65.16017655618589</v>
      </c>
      <c r="H62" s="37">
        <f>krpm5/krpmMax*vmax5</f>
        <v>72.94319764484142</v>
      </c>
      <c r="I62" s="44">
        <f>krpm5/krpmMax*vmax6</f>
        <v>78.3607295654132</v>
      </c>
      <c r="J62" s="25"/>
    </row>
    <row r="63" spans="1:10" ht="12.75">
      <c r="A63" s="11">
        <f>rpm6/1000</f>
        <v>4</v>
      </c>
      <c r="B63" s="111">
        <f>cPower6</f>
        <v>39.911</v>
      </c>
      <c r="C63" s="112">
        <f>Power6/(krpm6*1000/60*2*PI())*1000</f>
        <v>95.28049400610952</v>
      </c>
      <c r="D63" s="37">
        <f>krpm6/krpmMax*vmax1</f>
        <v>41.056208805726875</v>
      </c>
      <c r="E63" s="37">
        <f>krpm6/krpmMax*vmax2</f>
        <v>57.62664263002024</v>
      </c>
      <c r="F63" s="37">
        <f>krpm6/krpmMax*vmax3</f>
        <v>72.61313792699147</v>
      </c>
      <c r="G63" s="37">
        <f>krpm6/krpmMax*vmax4</f>
        <v>86.88023540824786</v>
      </c>
      <c r="H63" s="37">
        <f>krpm6/krpmMax*vmax5</f>
        <v>97.25759685978856</v>
      </c>
      <c r="I63" s="44">
        <f>krpm6/krpmMax*vmax6</f>
        <v>104.48097275388426</v>
      </c>
      <c r="J63" s="25"/>
    </row>
    <row r="64" spans="1:10" ht="12.75">
      <c r="A64" s="11">
        <f>rpm7/1000</f>
        <v>5</v>
      </c>
      <c r="B64" s="111">
        <f>cPower7</f>
        <v>53.712</v>
      </c>
      <c r="C64" s="112">
        <f>Power7/(krpm7*1000/60*2*PI())*1000</f>
        <v>102.5823636402226</v>
      </c>
      <c r="D64" s="37">
        <f>krpm7/krpmMax*vmax1</f>
        <v>51.3202610071586</v>
      </c>
      <c r="E64" s="37">
        <f>krpm7/krpmMax*vmax2</f>
        <v>72.0333032875253</v>
      </c>
      <c r="F64" s="37">
        <f>krpm7/krpmMax*vmax3</f>
        <v>90.76642240873933</v>
      </c>
      <c r="G64" s="37">
        <f>krpm7/krpmMax*vmax4</f>
        <v>108.60029426030981</v>
      </c>
      <c r="H64" s="37">
        <f>krpm7/krpmMax*vmax5</f>
        <v>121.57199607473571</v>
      </c>
      <c r="I64" s="44">
        <f>krpm7/krpmMax*vmax6</f>
        <v>130.60121594235534</v>
      </c>
      <c r="J64" s="25"/>
    </row>
    <row r="65" spans="1:10" ht="12.75">
      <c r="A65" s="11">
        <f>rpm8/1000</f>
        <v>6</v>
      </c>
      <c r="B65" s="111">
        <f>cPower8</f>
        <v>61.918</v>
      </c>
      <c r="C65" s="112">
        <f>Power8/(krpm8*1000/60*2*PI())*1000</f>
        <v>98.54555766363974</v>
      </c>
      <c r="D65" s="37">
        <f>krpm8/krpmMax*vmax1</f>
        <v>61.58431320859031</v>
      </c>
      <c r="E65" s="37">
        <f>krpm8/krpmMax*vmax2</f>
        <v>86.43996394503036</v>
      </c>
      <c r="F65" s="37">
        <f>krpm8/krpmMax*vmax3</f>
        <v>108.91970689048719</v>
      </c>
      <c r="G65" s="37">
        <f>krpm8/krpmMax*vmax4</f>
        <v>130.32035311237178</v>
      </c>
      <c r="H65" s="37">
        <f>krpm8/krpmMax*vmax5</f>
        <v>145.88639528968284</v>
      </c>
      <c r="I65" s="44">
        <f>krpm8/krpmMax*vmax6</f>
        <v>156.7214591308264</v>
      </c>
      <c r="J65" s="25"/>
    </row>
    <row r="66" spans="1:10" ht="12.75">
      <c r="A66" s="11">
        <f>rpm9/1000</f>
        <v>7</v>
      </c>
      <c r="B66" s="111">
        <f>cPower9</f>
        <v>67.513</v>
      </c>
      <c r="C66" s="112">
        <f>Power9/(krpm9*1000/60*2*PI())*1000</f>
        <v>92.10023719682684</v>
      </c>
      <c r="D66" s="37">
        <f>krpm9/krpmMax*vmax1</f>
        <v>71.84836541002204</v>
      </c>
      <c r="E66" s="37">
        <f>krpm9/krpmMax*vmax2</f>
        <v>100.84662460253543</v>
      </c>
      <c r="F66" s="37">
        <f>krpm9/krpmMax*vmax3</f>
        <v>127.07299137223507</v>
      </c>
      <c r="G66" s="37">
        <f>krpm9/krpmMax*vmax4</f>
        <v>152.04041196443376</v>
      </c>
      <c r="H66" s="37">
        <f>krpm9/krpmMax*vmax5</f>
        <v>170.20079450462998</v>
      </c>
      <c r="I66" s="44">
        <f>krpm9/krpmMax*vmax6</f>
        <v>182.84170231929747</v>
      </c>
      <c r="J66" s="25"/>
    </row>
    <row r="67" spans="1:10" ht="12.75">
      <c r="A67" s="11">
        <f>rpm10/1000</f>
        <v>8</v>
      </c>
      <c r="B67" s="111">
        <f>cPower10</f>
        <v>77.211</v>
      </c>
      <c r="C67" s="112">
        <f>Power10/(krpm10*1000/60*2*PI())*1000</f>
        <v>92.16384233301247</v>
      </c>
      <c r="D67" s="37">
        <f>krpm10/krpmMax*vmax1</f>
        <v>82.11241761145375</v>
      </c>
      <c r="E67" s="37">
        <f>krpm10/krpmMax*vmax2</f>
        <v>115.25328526004049</v>
      </c>
      <c r="F67" s="37">
        <f>krpm10/krpmMax*vmax3</f>
        <v>145.22627585398294</v>
      </c>
      <c r="G67" s="37">
        <f>krpm10/krpmMax*vmax4</f>
        <v>173.7604708164957</v>
      </c>
      <c r="H67" s="37">
        <f>krpm10/krpmMax*vmax5</f>
        <v>194.51519371957713</v>
      </c>
      <c r="I67" s="44">
        <f>krpm10/krpmMax*vmax6</f>
        <v>208.96194550776852</v>
      </c>
      <c r="J67" s="25"/>
    </row>
    <row r="68" spans="1:10" ht="12.75">
      <c r="A68" s="11">
        <f>rpm11/1000</f>
        <v>9</v>
      </c>
      <c r="B68" s="111">
        <f>cPower11</f>
        <v>83.25359999999999</v>
      </c>
      <c r="C68" s="112">
        <f>Power11/(krpm11*1000/60*2*PI())*1000</f>
        <v>88.33481313463611</v>
      </c>
      <c r="D68" s="37">
        <f>krpm11/krpmMax*vmax1</f>
        <v>92.37646981288546</v>
      </c>
      <c r="E68" s="37">
        <f>krpm11/krpmMax*vmax2</f>
        <v>129.65994591754554</v>
      </c>
      <c r="F68" s="37">
        <f>krpm11/krpmMax*vmax3</f>
        <v>163.3795603357308</v>
      </c>
      <c r="G68" s="37">
        <f>krpm11/krpmMax*vmax4</f>
        <v>195.48052966855766</v>
      </c>
      <c r="H68" s="37">
        <f>krpm11/krpmMax*vmax5</f>
        <v>218.82959293452424</v>
      </c>
      <c r="I68" s="44">
        <f>krpm11/krpmMax*vmax6</f>
        <v>235.0821886962396</v>
      </c>
      <c r="J68" s="25"/>
    </row>
    <row r="69" spans="1:10" ht="12.75">
      <c r="A69" s="11">
        <f>rpmMax/1000</f>
        <v>9.6</v>
      </c>
      <c r="B69" s="113">
        <f>cPowerRpmMax</f>
        <v>82.06</v>
      </c>
      <c r="C69" s="114">
        <f>PowerRpmMax/(krpmMax*1000/60*2*PI())*1000</f>
        <v>81.62659143825582</v>
      </c>
      <c r="D69" s="43">
        <f>vmax1</f>
        <v>98.5349011337445</v>
      </c>
      <c r="E69" s="43">
        <f>vmax2</f>
        <v>138.30394231204858</v>
      </c>
      <c r="F69" s="43">
        <f>vmax3</f>
        <v>174.2715310247795</v>
      </c>
      <c r="G69" s="43">
        <f>vmax4</f>
        <v>208.51256497979483</v>
      </c>
      <c r="H69" s="43">
        <f>vmax5</f>
        <v>233.41823246349253</v>
      </c>
      <c r="I69" s="45">
        <f>vmax6</f>
        <v>250.75433460932223</v>
      </c>
      <c r="J69" s="25"/>
    </row>
    <row r="70" spans="1:7" ht="12.75">
      <c r="A70" s="11"/>
      <c r="B70" s="25"/>
      <c r="C70" s="26"/>
      <c r="D70" s="2"/>
      <c r="F70" s="2"/>
      <c r="G70" s="2"/>
    </row>
    <row r="71" spans="1:5" ht="12.75">
      <c r="A71"/>
      <c r="B71"/>
      <c r="C71"/>
      <c r="D71"/>
      <c r="E71"/>
    </row>
    <row r="72" spans="1:15" s="4" customFormat="1" ht="12.75">
      <c r="A72" s="46" t="s">
        <v>88</v>
      </c>
      <c r="B72" s="47"/>
      <c r="C72" s="47"/>
      <c r="D72" s="47"/>
      <c r="E72" s="47"/>
      <c r="F72" s="59"/>
      <c r="G72" s="59"/>
      <c r="H72" s="59"/>
      <c r="I72" s="59"/>
      <c r="J72" s="59"/>
      <c r="K72" s="59"/>
      <c r="L72" s="59"/>
      <c r="M72" s="59"/>
      <c r="N72" s="59"/>
      <c r="O72" s="64"/>
    </row>
    <row r="73" spans="1:15" s="4" customFormat="1" ht="12.75">
      <c r="A73" s="104" t="s">
        <v>40</v>
      </c>
      <c r="B73" s="51">
        <v>1</v>
      </c>
      <c r="C73" s="51"/>
      <c r="D73" s="51">
        <v>2</v>
      </c>
      <c r="E73" s="51"/>
      <c r="F73" s="61">
        <v>3</v>
      </c>
      <c r="G73" s="61"/>
      <c r="H73" s="61">
        <v>4</v>
      </c>
      <c r="I73" s="61"/>
      <c r="J73" s="61">
        <v>5</v>
      </c>
      <c r="K73" s="61"/>
      <c r="L73" s="61">
        <v>6</v>
      </c>
      <c r="M73" s="61"/>
      <c r="N73" s="61"/>
      <c r="O73" s="62"/>
    </row>
    <row r="74" spans="1:15" s="4" customFormat="1" ht="12.75">
      <c r="A74" s="104" t="s">
        <v>7</v>
      </c>
      <c r="B74" s="51" t="s">
        <v>1</v>
      </c>
      <c r="C74" s="51" t="s">
        <v>14</v>
      </c>
      <c r="D74" s="51" t="s">
        <v>1</v>
      </c>
      <c r="E74" s="51" t="s">
        <v>14</v>
      </c>
      <c r="F74" s="51" t="s">
        <v>1</v>
      </c>
      <c r="G74" s="51" t="s">
        <v>14</v>
      </c>
      <c r="H74" s="51" t="s">
        <v>1</v>
      </c>
      <c r="I74" s="51" t="s">
        <v>14</v>
      </c>
      <c r="J74" s="51" t="s">
        <v>1</v>
      </c>
      <c r="K74" s="51" t="s">
        <v>14</v>
      </c>
      <c r="L74" s="51" t="s">
        <v>1</v>
      </c>
      <c r="M74" s="51" t="s">
        <v>14</v>
      </c>
      <c r="N74" s="61"/>
      <c r="O74" s="62"/>
    </row>
    <row r="75" spans="1:15" s="4" customFormat="1" ht="12.75">
      <c r="A75" s="104">
        <f>krpm0</f>
        <v>0</v>
      </c>
      <c r="B75" s="82">
        <f>krpm0/krpmMax*vmax1</f>
        <v>0</v>
      </c>
      <c r="C75" s="82"/>
      <c r="D75" s="82">
        <f>krpm0/krpmMax*vmax2</f>
        <v>0</v>
      </c>
      <c r="E75" s="82"/>
      <c r="F75" s="82">
        <f>krpm0/krpmMax*vmax3</f>
        <v>0</v>
      </c>
      <c r="G75" s="82"/>
      <c r="H75" s="82">
        <f>krpm0/krpmMax*vmax4</f>
        <v>0</v>
      </c>
      <c r="I75" s="82"/>
      <c r="J75" s="82">
        <f>krpm0/krpmMax*vmax5</f>
        <v>0</v>
      </c>
      <c r="K75" s="82"/>
      <c r="L75" s="82">
        <f>krpm0/krpmMax*vmax6</f>
        <v>0</v>
      </c>
      <c r="M75" s="82"/>
      <c r="N75" s="61"/>
      <c r="O75" s="62"/>
    </row>
    <row r="76" spans="1:15" ht="12.75">
      <c r="A76" s="50">
        <f>krpm1</f>
        <v>0</v>
      </c>
      <c r="B76" s="82">
        <f>krpm1/krpmMax*vmax1</f>
        <v>0</v>
      </c>
      <c r="C76" s="82"/>
      <c r="D76" s="82">
        <f>krpm1/krpmMax*vmax2</f>
        <v>0</v>
      </c>
      <c r="E76" s="82"/>
      <c r="F76" s="82">
        <f>krpm1/krpmMax*vmax3</f>
        <v>0</v>
      </c>
      <c r="G76" s="82"/>
      <c r="H76" s="82">
        <f>krpm1/krpmMax*vmax4</f>
        <v>0</v>
      </c>
      <c r="I76" s="82"/>
      <c r="J76" s="82">
        <f>krpm1/krpmMax*vmax5</f>
        <v>0</v>
      </c>
      <c r="K76" s="82"/>
      <c r="L76" s="82">
        <f>krpm1/krpmMax*vmax6</f>
        <v>0</v>
      </c>
      <c r="M76" s="82"/>
      <c r="N76" s="24"/>
      <c r="O76" s="72"/>
    </row>
    <row r="77" spans="1:15" ht="12.75">
      <c r="A77" s="50">
        <f>krpm2</f>
        <v>0</v>
      </c>
      <c r="B77" s="82">
        <f>krpm2/krpmMax*vmax1</f>
        <v>0</v>
      </c>
      <c r="C77" s="82"/>
      <c r="D77" s="82">
        <f>krpm2/krpmMax*vmax2</f>
        <v>0</v>
      </c>
      <c r="E77" s="82"/>
      <c r="F77" s="82">
        <f>krpm2/krpmMax*vmax3</f>
        <v>0</v>
      </c>
      <c r="G77" s="82"/>
      <c r="H77" s="82">
        <f>krpm2/krpmMax*vmax4</f>
        <v>0</v>
      </c>
      <c r="I77" s="82"/>
      <c r="J77" s="82">
        <f>krpm2/krpmMax*vmax5</f>
        <v>0</v>
      </c>
      <c r="K77" s="82"/>
      <c r="L77" s="82">
        <f>krpm2/krpmMax*vmax6</f>
        <v>0</v>
      </c>
      <c r="M77" s="82"/>
      <c r="N77" s="24"/>
      <c r="O77" s="72"/>
    </row>
    <row r="78" spans="1:15" ht="12.75">
      <c r="A78" s="50">
        <f>krpm3</f>
        <v>0</v>
      </c>
      <c r="B78" s="82">
        <f>krpm3/krpmMax*vmax1</f>
        <v>0</v>
      </c>
      <c r="C78" s="78"/>
      <c r="D78" s="78">
        <f>krpm3/krpmMax*vmax2</f>
        <v>0</v>
      </c>
      <c r="E78" s="78"/>
      <c r="F78" s="78">
        <f>krpm3/krpmMax*vmax3</f>
        <v>0</v>
      </c>
      <c r="G78" s="78"/>
      <c r="H78" s="78">
        <f>krpm3/krpmMax*vmax4</f>
        <v>0</v>
      </c>
      <c r="I78" s="78"/>
      <c r="J78" s="78">
        <f>krpm3/krpmMax*vmax5</f>
        <v>0</v>
      </c>
      <c r="K78" s="78"/>
      <c r="L78" s="78">
        <f>krpm3/krpmMax*vmax6</f>
        <v>0</v>
      </c>
      <c r="M78" s="78"/>
      <c r="N78" s="24"/>
      <c r="O78" s="72"/>
    </row>
    <row r="79" spans="1:15" ht="12.75">
      <c r="A79" s="50">
        <f>krpm4</f>
        <v>0</v>
      </c>
      <c r="B79" s="82">
        <f>krpm4/krpmMax*vmax1</f>
        <v>0</v>
      </c>
      <c r="C79" s="78"/>
      <c r="D79" s="78">
        <f>krpm4/krpmMax*vmax2</f>
        <v>0</v>
      </c>
      <c r="E79" s="78"/>
      <c r="F79" s="78">
        <f>krpm4/krpmMax*vmax3</f>
        <v>0</v>
      </c>
      <c r="G79" s="78"/>
      <c r="H79" s="78">
        <f>krpm4/krpmMax*vmax4</f>
        <v>0</v>
      </c>
      <c r="I79" s="78"/>
      <c r="J79" s="78">
        <f>krpm4/krpmMax*vmax5</f>
        <v>0</v>
      </c>
      <c r="K79" s="78"/>
      <c r="L79" s="78">
        <f>krpm4/krpmMax*vmax6</f>
        <v>0</v>
      </c>
      <c r="M79" s="78"/>
      <c r="N79" s="24"/>
      <c r="O79" s="72"/>
    </row>
    <row r="80" spans="1:15" ht="12.75">
      <c r="A80" s="50">
        <f>krpm5</f>
        <v>3</v>
      </c>
      <c r="B80" s="82">
        <f>krpm5/krpmMax*vmax1</f>
        <v>30.792156604295155</v>
      </c>
      <c r="C80" s="78">
        <f>Torque5*Ratio1*efficiency/r_wheel</f>
        <v>2661.5280706091803</v>
      </c>
      <c r="D80" s="78">
        <f>krpm5/krpmMax*vmax2</f>
        <v>43.21998197251518</v>
      </c>
      <c r="E80" s="78">
        <f>Torque5*Ratio2*efficiency/r_wheel</f>
        <v>1896.2106279693132</v>
      </c>
      <c r="F80" s="78">
        <f>krpm5/krpmMax*vmax3</f>
        <v>54.459853445243596</v>
      </c>
      <c r="G80" s="78">
        <f>Torque5*Ratio3*efficiency/r_wheel</f>
        <v>1504.8551175284722</v>
      </c>
      <c r="H80" s="78">
        <f>krpm5/krpmMax*vmax4</f>
        <v>65.16017655618589</v>
      </c>
      <c r="I80" s="78">
        <f>Torque5*Ratio4*efficiency/r_wheel</f>
        <v>1257.7343016598259</v>
      </c>
      <c r="J80" s="78">
        <f>krpm5/krpmMax*vmax5</f>
        <v>72.94319764484142</v>
      </c>
      <c r="K80" s="78">
        <f>Torque5*Ratio5*efficiency/r_wheel</f>
        <v>1123.5343637656013</v>
      </c>
      <c r="L80" s="78">
        <f>krpm5/krpmMax*vmax6</f>
        <v>78.3607295654132</v>
      </c>
      <c r="M80" s="78">
        <f>Torque5*Ratio6*efficiency/r_wheel</f>
        <v>1045.8579139250166</v>
      </c>
      <c r="N80" s="24"/>
      <c r="O80" s="72"/>
    </row>
    <row r="81" spans="1:15" ht="12.75">
      <c r="A81" s="50">
        <f>krpm6</f>
        <v>4</v>
      </c>
      <c r="B81" s="82">
        <f>krpm6/krpmMax*vmax1</f>
        <v>41.056208805726875</v>
      </c>
      <c r="C81" s="78">
        <f>Torque6*Ratio1*efficiency/r_wheel</f>
        <v>2925.857913238174</v>
      </c>
      <c r="D81" s="78">
        <f>krpm6/krpmMax*vmax2</f>
        <v>57.62664263002024</v>
      </c>
      <c r="E81" s="78">
        <f>Torque6*Ratio2*efficiency/r_wheel</f>
        <v>2084.532916363526</v>
      </c>
      <c r="F81" s="78">
        <f>krpm6/krpmMax*vmax3</f>
        <v>72.61313792699147</v>
      </c>
      <c r="G81" s="78">
        <f>Torque6*Ratio3*efficiency/r_wheel</f>
        <v>1654.3099065980805</v>
      </c>
      <c r="H81" s="78">
        <f>krpm6/krpmMax*vmax4</f>
        <v>86.88023540824786</v>
      </c>
      <c r="I81" s="78">
        <f>Torque6*Ratio4*efficiency/r_wheel</f>
        <v>1382.6462699753563</v>
      </c>
      <c r="J81" s="78">
        <f>krpm6/krpmMax*vmax5</f>
        <v>97.25759685978856</v>
      </c>
      <c r="K81" s="78">
        <f>Torque6*Ratio5*efficiency/r_wheel</f>
        <v>1235.1182560573907</v>
      </c>
      <c r="L81" s="78">
        <f>krpm6/krpmMax*vmax6</f>
        <v>104.48097275388426</v>
      </c>
      <c r="M81" s="78">
        <f>Torque6*Ratio6*efficiency/r_wheel</f>
        <v>1149.727364280583</v>
      </c>
      <c r="N81" s="24"/>
      <c r="O81" s="72"/>
    </row>
    <row r="82" spans="1:15" ht="12.75">
      <c r="A82" s="50">
        <f>krpm7</f>
        <v>5</v>
      </c>
      <c r="B82" s="82">
        <f>krpm7/krpmMax*vmax1</f>
        <v>51.3202610071586</v>
      </c>
      <c r="C82" s="78">
        <f>Torque7*Ratio1*efficiency/r_wheel</f>
        <v>3150.0825383648385</v>
      </c>
      <c r="D82" s="78">
        <f>krpm7/krpmMax*vmax2</f>
        <v>72.0333032875253</v>
      </c>
      <c r="E82" s="78">
        <f>Torque7*Ratio2*efficiency/r_wheel</f>
        <v>2244.282167897927</v>
      </c>
      <c r="F82" s="78">
        <f>krpm7/krpmMax*vmax3</f>
        <v>90.76642240873933</v>
      </c>
      <c r="G82" s="78">
        <f>Torque7*Ratio3*efficiency/r_wheel</f>
        <v>1781.088796636438</v>
      </c>
      <c r="H82" s="78">
        <f>krpm7/krpmMax*vmax4</f>
        <v>108.60029426030981</v>
      </c>
      <c r="I82" s="78">
        <f>Torque7*Ratio4*efficiency/r_wheel</f>
        <v>1488.6060775809447</v>
      </c>
      <c r="J82" s="78">
        <f>krpm7/krpmMax*vmax5</f>
        <v>121.57199607473571</v>
      </c>
      <c r="K82" s="78">
        <f>Torque7*Ratio5*efficiency/r_wheel</f>
        <v>1329.7721784842186</v>
      </c>
      <c r="L82" s="78">
        <f>krpm7/krpmMax*vmax6</f>
        <v>130.60121594235534</v>
      </c>
      <c r="M82" s="78">
        <f>Torque7*Ratio6*efficiency/r_wheel</f>
        <v>1237.837311823581</v>
      </c>
      <c r="N82" s="24"/>
      <c r="O82" s="72"/>
    </row>
    <row r="83" spans="1:15" ht="12.75">
      <c r="A83" s="50">
        <f>krpm8</f>
        <v>6</v>
      </c>
      <c r="B83" s="82">
        <f>krpm8/krpmMax*vmax1</f>
        <v>61.58431320859031</v>
      </c>
      <c r="C83" s="78">
        <f>Torque8*Ratio1*efficiency/r_wheel</f>
        <v>3026.120956993999</v>
      </c>
      <c r="D83" s="78">
        <f>krpm8/krpmMax*vmax2</f>
        <v>86.43996394503036</v>
      </c>
      <c r="E83" s="78">
        <f>Torque8*Ratio2*efficiency/r_wheel</f>
        <v>2155.9655085130544</v>
      </c>
      <c r="F83" s="78">
        <f>krpm8/krpmMax*vmax3</f>
        <v>108.91970689048719</v>
      </c>
      <c r="G83" s="78">
        <f>Torque8*Ratio3*efficiency/r_wheel</f>
        <v>1710.9996541762075</v>
      </c>
      <c r="H83" s="78">
        <f>krpm8/krpmMax*vmax4</f>
        <v>130.32035311237178</v>
      </c>
      <c r="I83" s="78">
        <f>Torque8*Ratio4*efficiency/r_wheel</f>
        <v>1430.0266717502125</v>
      </c>
      <c r="J83" s="78">
        <f>krpm8/krpmMax*vmax5</f>
        <v>145.88639528968284</v>
      </c>
      <c r="K83" s="78">
        <f>Torque8*Ratio5*efficiency/r_wheel</f>
        <v>1277.443180719793</v>
      </c>
      <c r="L83" s="78">
        <f>krpm8/krpmMax*vmax6</f>
        <v>156.7214591308264</v>
      </c>
      <c r="M83" s="78">
        <f>Torque8*Ratio6*efficiency/r_wheel</f>
        <v>1189.126121312005</v>
      </c>
      <c r="N83" s="24"/>
      <c r="O83" s="72"/>
    </row>
    <row r="84" spans="1:15" ht="12.75">
      <c r="A84" s="50">
        <f>krpm9</f>
        <v>7</v>
      </c>
      <c r="B84" s="78">
        <f>krpm9/krpmMax*vmax1</f>
        <v>71.84836541002204</v>
      </c>
      <c r="C84" s="78">
        <f>Torque9*Ratio1*efficiency/r_wheel</f>
        <v>2828.1991043850976</v>
      </c>
      <c r="D84" s="99">
        <f>krpm9/krpmMax*vmax2</f>
        <v>100.84662460253543</v>
      </c>
      <c r="E84" s="99">
        <f>Torque9*Ratio2*efficiency/r_wheel</f>
        <v>2014.9557162178808</v>
      </c>
      <c r="F84" s="78">
        <f>krpm9/krpmMax*vmax3</f>
        <v>127.07299137223507</v>
      </c>
      <c r="G84" s="78">
        <f>Torque9*Ratio3*efficiency/r_wheel</f>
        <v>1599.0926199960086</v>
      </c>
      <c r="H84" s="78">
        <f>krpm9/krpmMax*vmax4</f>
        <v>152.04041196443376</v>
      </c>
      <c r="I84" s="78">
        <f>Torque9*Ratio4*efficiency/r_wheel</f>
        <v>1336.49652798686</v>
      </c>
      <c r="J84" s="78">
        <f>krpm9/krpmMax*vmax5</f>
        <v>170.20079450462998</v>
      </c>
      <c r="K84" s="78">
        <f>Torque9*Ratio5*efficiency/r_wheel</f>
        <v>1193.8926800875176</v>
      </c>
      <c r="L84" s="78">
        <f>krpm9/krpmMax*vmax6</f>
        <v>182.84170231929747</v>
      </c>
      <c r="M84" s="78">
        <f>Torque9*Ratio6*efficiency/r_wheel</f>
        <v>1111.35195158764</v>
      </c>
      <c r="N84" s="24" t="s">
        <v>98</v>
      </c>
      <c r="O84" s="72"/>
    </row>
    <row r="85" spans="1:15" ht="12.75">
      <c r="A85" s="50">
        <f>krpm10</f>
        <v>8</v>
      </c>
      <c r="B85" s="78">
        <f>krpm10/krpmMax*vmax1</f>
        <v>82.11241761145375</v>
      </c>
      <c r="C85" s="78">
        <f>Torque10*Ratio1*efficiency/r_wheel</f>
        <v>2830.1522805621585</v>
      </c>
      <c r="D85" s="78">
        <f>krpm10/krpmMax*vmax2</f>
        <v>115.25328526004049</v>
      </c>
      <c r="E85" s="78">
        <f>Torque10*Ratio2*efficiency/r_wheel</f>
        <v>2016.3472602207933</v>
      </c>
      <c r="F85" s="99">
        <f>krpm10/krpmMax*vmax3</f>
        <v>145.22627585398294</v>
      </c>
      <c r="G85" s="99">
        <f>Torque10*Ratio3*efficiency/r_wheel</f>
        <v>1600.1969657280497</v>
      </c>
      <c r="H85" s="78">
        <f>krpm10/krpmMax*vmax4</f>
        <v>173.7604708164957</v>
      </c>
      <c r="I85" s="78">
        <f>Torque10*Ratio4*efficiency/r_wheel</f>
        <v>1337.4195228266294</v>
      </c>
      <c r="J85" s="78">
        <f>krpm10/krpmMax*vmax5</f>
        <v>194.51519371957713</v>
      </c>
      <c r="K85" s="78">
        <f>Torque10*Ratio5*efficiency/r_wheel</f>
        <v>1194.717191606915</v>
      </c>
      <c r="L85" s="78">
        <f>krpm10/krpmMax*vmax6</f>
        <v>208.96194550776852</v>
      </c>
      <c r="M85" s="78">
        <f>Torque10*Ratio6*efficiency/r_wheel</f>
        <v>1112.1194598414984</v>
      </c>
      <c r="N85" s="24"/>
      <c r="O85" s="72"/>
    </row>
    <row r="86" spans="1:15" ht="12.75">
      <c r="A86" s="50">
        <f>krpm11</f>
        <v>9</v>
      </c>
      <c r="B86" s="78">
        <f>krpm11/krpmMax*vmax1</f>
        <v>92.37646981288546</v>
      </c>
      <c r="C86" s="78">
        <f>Torque11*Ratio1*efficiency/r_wheel</f>
        <v>2712.5710747030544</v>
      </c>
      <c r="D86" s="78">
        <f>krpm11/krpmMax*vmax2</f>
        <v>129.65994591754554</v>
      </c>
      <c r="E86" s="78">
        <f>Torque11*Ratio2*efficiency/r_wheel</f>
        <v>1932.5763112454367</v>
      </c>
      <c r="F86" s="78">
        <f>krpm11/krpmMax*vmax3</f>
        <v>163.3795603357308</v>
      </c>
      <c r="G86" s="78">
        <f>Torque11*Ratio3*efficiency/r_wheel</f>
        <v>1533.7153526591549</v>
      </c>
      <c r="H86" s="99">
        <f>krpm11/krpmMax*vmax4</f>
        <v>195.48052966855766</v>
      </c>
      <c r="I86" s="141">
        <f>Torque11*Ratio4*efficiency/r_wheel</f>
        <v>1281.8552334724798</v>
      </c>
      <c r="J86" s="99">
        <f>krpm11/krpmMax*vmax5</f>
        <v>218.82959293452424</v>
      </c>
      <c r="K86" s="141">
        <f>Torque11*Ratio5*efficiency/r_wheel</f>
        <v>1145.0815981391881</v>
      </c>
      <c r="L86" s="99">
        <f>krpm11/krpmMax*vmax6</f>
        <v>235.0821886962396</v>
      </c>
      <c r="M86" s="99">
        <f>Torque11*Ratio6*efficiency/r_wheel</f>
        <v>1065.9154629591949</v>
      </c>
      <c r="N86" s="24"/>
      <c r="O86" s="72"/>
    </row>
    <row r="87" spans="1:15" ht="12.75">
      <c r="A87" s="105">
        <f>krpmMax</f>
        <v>9.6</v>
      </c>
      <c r="B87" s="106">
        <f>vmax1</f>
        <v>98.5349011337445</v>
      </c>
      <c r="C87" s="106">
        <f>TorqueRpmMax*Ratio1*efficiency/r_wheel</f>
        <v>2506.5760938956314</v>
      </c>
      <c r="D87" s="106">
        <f>vmax2</f>
        <v>138.30394231204858</v>
      </c>
      <c r="E87" s="106">
        <f>TorqueRpmMax*Ratio2*efficiency/r_wheel</f>
        <v>1785.814803738223</v>
      </c>
      <c r="F87" s="106">
        <f>vmax3</f>
        <v>174.2715310247795</v>
      </c>
      <c r="G87" s="106">
        <f>TorqueRpmMax*Ratio3*efficiency/r_wheel</f>
        <v>1417.2436894531838</v>
      </c>
      <c r="H87" s="106">
        <f>vmax4</f>
        <v>208.51256497979483</v>
      </c>
      <c r="I87" s="106">
        <f>TorqueRpmMax*Ratio4*efficiency/r_wheel</f>
        <v>1184.5100443714111</v>
      </c>
      <c r="J87" s="106">
        <f>vmax5</f>
        <v>233.41823246349253</v>
      </c>
      <c r="K87" s="106">
        <f>TorqueRpmMax*Ratio5*efficiency/r_wheel</f>
        <v>1058.1231165600695</v>
      </c>
      <c r="L87" s="106">
        <f>vmax6</f>
        <v>250.75433460932223</v>
      </c>
      <c r="M87" s="79">
        <f>TorqueRpmMax*Ratio6*efficiency/r_wheel</f>
        <v>984.9689257855463</v>
      </c>
      <c r="N87" s="107" t="s">
        <v>99</v>
      </c>
      <c r="O87" s="74"/>
    </row>
    <row r="88" spans="1:13" ht="12.75">
      <c r="A88" s="4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7"/>
      <c r="M88" s="7"/>
    </row>
    <row r="89" spans="2:11" s="4" customFormat="1" ht="12.75">
      <c r="B89" s="63" t="s">
        <v>44</v>
      </c>
      <c r="C89" s="59"/>
      <c r="D89" s="64"/>
      <c r="F89" s="63" t="s">
        <v>97</v>
      </c>
      <c r="G89" s="64"/>
      <c r="I89" s="63" t="s">
        <v>103</v>
      </c>
      <c r="J89" s="59"/>
      <c r="K89" s="64"/>
    </row>
    <row r="90" spans="1:11" s="4" customFormat="1" ht="12.75">
      <c r="A90" s="9" t="s">
        <v>1</v>
      </c>
      <c r="B90" s="65" t="s">
        <v>41</v>
      </c>
      <c r="C90" s="61" t="s">
        <v>42</v>
      </c>
      <c r="D90" s="62" t="s">
        <v>43</v>
      </c>
      <c r="F90" s="65"/>
      <c r="G90" s="62"/>
      <c r="I90" s="65" t="s">
        <v>105</v>
      </c>
      <c r="J90" s="61" t="s">
        <v>104</v>
      </c>
      <c r="K90" s="62" t="s">
        <v>106</v>
      </c>
    </row>
    <row r="91" spans="1:11" ht="12.75">
      <c r="A91" s="28">
        <v>0</v>
      </c>
      <c r="B91" s="75">
        <f aca="true" t="shared" si="0" ref="B91:B103">M_tot*9.81*SIN(RADIANS(incline))</f>
        <v>0</v>
      </c>
      <c r="C91" s="76">
        <f>Cd*A*POWER(krpm0/krpmMax*vmax6mps3,2)</f>
        <v>0</v>
      </c>
      <c r="D91" s="77">
        <f aca="true" t="shared" si="1" ref="D91:D103">SUM(B91:C91)</f>
        <v>0</v>
      </c>
      <c r="F91" s="70"/>
      <c r="G91" s="71"/>
      <c r="H91" s="7"/>
      <c r="I91" s="66">
        <f>B57</f>
        <v>0</v>
      </c>
      <c r="J91" s="67">
        <f>C57</f>
        <v>0</v>
      </c>
      <c r="K91" s="44">
        <f>J98</f>
        <v>53.712</v>
      </c>
    </row>
    <row r="92" spans="1:11" ht="12.75">
      <c r="A92" s="28">
        <f>krpm1/krpmMax*vmax6</f>
        <v>0</v>
      </c>
      <c r="B92" s="75">
        <f t="shared" si="0"/>
        <v>0</v>
      </c>
      <c r="C92" s="78">
        <f>Cd*A*POWER(krpm1/krpmMax*vmax6mps3,2)</f>
        <v>0</v>
      </c>
      <c r="D92" s="77">
        <f t="shared" si="1"/>
        <v>0</v>
      </c>
      <c r="F92" s="70"/>
      <c r="G92" s="72"/>
      <c r="I92" s="66">
        <v>0</v>
      </c>
      <c r="J92" s="67">
        <f>Power1</f>
        <v>0</v>
      </c>
      <c r="K92" s="44">
        <f aca="true" t="shared" si="2" ref="K92:K103">K91</f>
        <v>53.712</v>
      </c>
    </row>
    <row r="93" spans="1:12" ht="12.75">
      <c r="A93" s="28">
        <f>krpm2/krpmMax*vmax6</f>
        <v>0</v>
      </c>
      <c r="B93" s="75">
        <f t="shared" si="0"/>
        <v>0</v>
      </c>
      <c r="C93" s="78">
        <f>Cd*A*POWER(krpm2/krpmMax*vmax6mps3,2)</f>
        <v>0</v>
      </c>
      <c r="D93" s="77">
        <f t="shared" si="1"/>
        <v>0</v>
      </c>
      <c r="F93" s="70"/>
      <c r="G93" s="72"/>
      <c r="I93" s="66">
        <v>0</v>
      </c>
      <c r="J93" s="67">
        <f>Power2</f>
        <v>0</v>
      </c>
      <c r="K93" s="44">
        <f t="shared" si="2"/>
        <v>53.712</v>
      </c>
      <c r="L93" s="3"/>
    </row>
    <row r="94" spans="1:11" ht="12.75">
      <c r="A94" s="28">
        <f>2*A95/3</f>
        <v>26.120243188471065</v>
      </c>
      <c r="B94" s="75">
        <f t="shared" si="0"/>
        <v>0</v>
      </c>
      <c r="C94" s="78">
        <f>Cd*A*POWER(2/3*krpm4/krpmMax*vmax6mps3,2)</f>
        <v>0</v>
      </c>
      <c r="D94" s="77">
        <f t="shared" si="1"/>
        <v>0</v>
      </c>
      <c r="F94" s="70"/>
      <c r="G94" s="72"/>
      <c r="I94" s="66">
        <v>0</v>
      </c>
      <c r="J94" s="67">
        <f>Power3</f>
        <v>0</v>
      </c>
      <c r="K94" s="44">
        <f t="shared" si="2"/>
        <v>53.712</v>
      </c>
    </row>
    <row r="95" spans="1:11" ht="12.75">
      <c r="A95" s="28">
        <f>A96/2</f>
        <v>39.1803647827066</v>
      </c>
      <c r="B95" s="75">
        <f t="shared" si="0"/>
        <v>0</v>
      </c>
      <c r="C95" s="78">
        <f>Cd*A*POWER(0.5*krpm5/krpmMax*vmax6mps3,2)</f>
        <v>23.68983000780795</v>
      </c>
      <c r="D95" s="77">
        <f t="shared" si="1"/>
        <v>23.68983000780795</v>
      </c>
      <c r="F95" s="70"/>
      <c r="G95" s="72"/>
      <c r="I95" s="66">
        <v>0</v>
      </c>
      <c r="J95" s="67">
        <f>Power4</f>
        <v>0</v>
      </c>
      <c r="K95" s="44">
        <f t="shared" si="2"/>
        <v>53.712</v>
      </c>
    </row>
    <row r="96" spans="1:12" ht="12.75">
      <c r="A96" s="28">
        <f>krpm5/krpmMax*vmax6</f>
        <v>78.3607295654132</v>
      </c>
      <c r="B96" s="75">
        <f t="shared" si="0"/>
        <v>0</v>
      </c>
      <c r="C96" s="78">
        <f>Cd*A*POWER(krpm5/krpmMax*vmax6mps3,2)</f>
        <v>94.7593200312318</v>
      </c>
      <c r="D96" s="77">
        <f t="shared" si="1"/>
        <v>94.7593200312318</v>
      </c>
      <c r="F96" s="70">
        <f aca="true" t="shared" si="3" ref="F96:F103">MAX($D$115:$D$138)*1000/(A96*1000/3600)</f>
        <v>3197.746388877585</v>
      </c>
      <c r="G96" s="72"/>
      <c r="I96" s="66">
        <f>Torque5</f>
        <v>86.67259890898437</v>
      </c>
      <c r="J96" s="67">
        <f>Power5</f>
        <v>27.229</v>
      </c>
      <c r="K96" s="44">
        <f t="shared" si="2"/>
        <v>53.712</v>
      </c>
      <c r="L96" s="3"/>
    </row>
    <row r="97" spans="1:11" ht="12.75">
      <c r="A97" s="28">
        <f>krpm6/krpmMax*vmax6</f>
        <v>104.48097275388426</v>
      </c>
      <c r="B97" s="75">
        <f t="shared" si="0"/>
        <v>0</v>
      </c>
      <c r="C97" s="78">
        <f>Cd*A*POWER(krpm6/krpmMax*vmax6mps3,2)</f>
        <v>168.46101338885654</v>
      </c>
      <c r="D97" s="77">
        <f t="shared" si="1"/>
        <v>168.46101338885654</v>
      </c>
      <c r="F97" s="70">
        <f t="shared" si="3"/>
        <v>2398.3097916581887</v>
      </c>
      <c r="G97" s="72"/>
      <c r="I97" s="66">
        <f>Torque6</f>
        <v>95.28049400610952</v>
      </c>
      <c r="J97" s="67">
        <f>Power6</f>
        <v>39.911</v>
      </c>
      <c r="K97" s="44">
        <f t="shared" si="2"/>
        <v>53.712</v>
      </c>
    </row>
    <row r="98" spans="1:11" ht="12.75">
      <c r="A98" s="28">
        <f>krpm7/krpmMax*vmax6</f>
        <v>130.60121594235534</v>
      </c>
      <c r="B98" s="75">
        <f t="shared" si="0"/>
        <v>0</v>
      </c>
      <c r="C98" s="78">
        <f>Cd*A*POWER(krpm7/krpmMax*vmax6mps3,2)</f>
        <v>263.22033342008837</v>
      </c>
      <c r="D98" s="77">
        <f t="shared" si="1"/>
        <v>263.22033342008837</v>
      </c>
      <c r="F98" s="70">
        <f t="shared" si="3"/>
        <v>1918.6478333265507</v>
      </c>
      <c r="G98" s="72"/>
      <c r="I98" s="66">
        <f>Torque7</f>
        <v>102.5823636402226</v>
      </c>
      <c r="J98" s="67">
        <f>Power7</f>
        <v>53.712</v>
      </c>
      <c r="K98" s="44">
        <f t="shared" si="2"/>
        <v>53.712</v>
      </c>
    </row>
    <row r="99" spans="1:11" ht="12.75">
      <c r="A99" s="28">
        <f>krpm8/krpmMax*vmax6</f>
        <v>156.7214591308264</v>
      </c>
      <c r="B99" s="75">
        <f t="shared" si="0"/>
        <v>0</v>
      </c>
      <c r="C99" s="78">
        <f>Cd*A*POWER(krpm8/krpmMax*vmax6mps3,2)</f>
        <v>379.0372801249272</v>
      </c>
      <c r="D99" s="77">
        <f t="shared" si="1"/>
        <v>379.0372801249272</v>
      </c>
      <c r="F99" s="70">
        <f t="shared" si="3"/>
        <v>1598.8731944387926</v>
      </c>
      <c r="G99" s="72"/>
      <c r="I99" s="66">
        <f>Torque8</f>
        <v>98.54555766363974</v>
      </c>
      <c r="J99" s="67">
        <f>Power8</f>
        <v>61.918</v>
      </c>
      <c r="K99" s="44">
        <f t="shared" si="2"/>
        <v>53.712</v>
      </c>
    </row>
    <row r="100" spans="1:11" ht="12.75">
      <c r="A100" s="28">
        <f>krpm9/krpmMax*vmax6</f>
        <v>182.84170231929747</v>
      </c>
      <c r="B100" s="75">
        <f t="shared" si="0"/>
        <v>0</v>
      </c>
      <c r="C100" s="78">
        <f>Cd*A*POWER(krpm9/krpmMax*vmax6mps3,2)</f>
        <v>515.9118535033732</v>
      </c>
      <c r="D100" s="77">
        <f t="shared" si="1"/>
        <v>515.9118535033732</v>
      </c>
      <c r="F100" s="70">
        <f t="shared" si="3"/>
        <v>1370.4627380903933</v>
      </c>
      <c r="G100" s="72"/>
      <c r="I100" s="66">
        <f>Torque9</f>
        <v>92.10023719682684</v>
      </c>
      <c r="J100" s="67">
        <f>Power9</f>
        <v>67.513</v>
      </c>
      <c r="K100" s="44">
        <f t="shared" si="2"/>
        <v>53.712</v>
      </c>
    </row>
    <row r="101" spans="1:11" ht="12.75">
      <c r="A101" s="28">
        <f>krpm10/krpmMax*vmax6</f>
        <v>208.96194550776852</v>
      </c>
      <c r="B101" s="75">
        <f t="shared" si="0"/>
        <v>0</v>
      </c>
      <c r="C101" s="78">
        <f>Cd*A*POWER(krpm10/krpmMax*vmax6mps3,2)</f>
        <v>673.8440535554262</v>
      </c>
      <c r="D101" s="77">
        <f t="shared" si="1"/>
        <v>673.8440535554262</v>
      </c>
      <c r="F101" s="70">
        <f t="shared" si="3"/>
        <v>1199.1548958290944</v>
      </c>
      <c r="G101" s="72"/>
      <c r="I101" s="66">
        <f>Torque10</f>
        <v>92.16384233301247</v>
      </c>
      <c r="J101" s="67">
        <f>Power10</f>
        <v>77.211</v>
      </c>
      <c r="K101" s="44">
        <f t="shared" si="2"/>
        <v>53.712</v>
      </c>
    </row>
    <row r="102" spans="1:11" ht="12.75">
      <c r="A102" s="28">
        <f>krpm11/krpmMax*vmax6</f>
        <v>235.0821886962396</v>
      </c>
      <c r="B102" s="75">
        <f t="shared" si="0"/>
        <v>0</v>
      </c>
      <c r="C102" s="78">
        <f>Cd*A*POWER(krpm11/krpmMax*vmax6mps3,2)</f>
        <v>852.8338802810863</v>
      </c>
      <c r="D102" s="77">
        <f t="shared" si="1"/>
        <v>852.8338802810863</v>
      </c>
      <c r="F102" s="70">
        <f t="shared" si="3"/>
        <v>1065.9154629591949</v>
      </c>
      <c r="G102" s="72"/>
      <c r="I102" s="66">
        <f>Torque11</f>
        <v>88.33481313463611</v>
      </c>
      <c r="J102" s="67">
        <f>Power11</f>
        <v>83.25359999999999</v>
      </c>
      <c r="K102" s="44">
        <f t="shared" si="2"/>
        <v>53.712</v>
      </c>
    </row>
    <row r="103" spans="1:11" ht="12.75">
      <c r="A103" s="28">
        <f>krpmMax/krpmMax*vmax6</f>
        <v>250.75433460932223</v>
      </c>
      <c r="B103" s="55">
        <f t="shared" si="0"/>
        <v>0</v>
      </c>
      <c r="C103" s="79">
        <f>Cd*A*POWER(krpmMax/krpmMax*vmax6mps3,2)</f>
        <v>970.3354371198137</v>
      </c>
      <c r="D103" s="80">
        <f t="shared" si="1"/>
        <v>970.3354371198137</v>
      </c>
      <c r="F103" s="73">
        <f t="shared" si="3"/>
        <v>999.2957465242453</v>
      </c>
      <c r="G103" s="74"/>
      <c r="I103" s="68">
        <f>TorqueRpmMax</f>
        <v>81.62659143825582</v>
      </c>
      <c r="J103" s="69">
        <f>PowerRpmMax</f>
        <v>82.06</v>
      </c>
      <c r="K103" s="45">
        <f t="shared" si="2"/>
        <v>53.712</v>
      </c>
    </row>
    <row r="104" spans="1:4" ht="12.75">
      <c r="A104" s="28"/>
      <c r="B104" s="8"/>
      <c r="C104" s="29"/>
      <c r="D104" s="27"/>
    </row>
    <row r="105" spans="1:3" s="4" customFormat="1" ht="12.75">
      <c r="A105" s="63" t="s">
        <v>79</v>
      </c>
      <c r="B105" s="59"/>
      <c r="C105" s="64"/>
    </row>
    <row r="106" spans="1:3" s="4" customFormat="1" ht="12.75">
      <c r="A106" s="65" t="s">
        <v>15</v>
      </c>
      <c r="B106" s="61" t="s">
        <v>5</v>
      </c>
      <c r="C106" s="62"/>
    </row>
    <row r="107" spans="1:3" ht="12.75">
      <c r="A107" s="81">
        <v>0</v>
      </c>
      <c r="B107" s="82">
        <f>Vmax_actual</f>
        <v>251</v>
      </c>
      <c r="C107" s="83">
        <v>0</v>
      </c>
    </row>
    <row r="108" spans="1:3" ht="12.75">
      <c r="A108" s="84">
        <f>ROUNDUP(MAX(C76:C87),-3)</f>
        <v>4000</v>
      </c>
      <c r="B108" s="56">
        <f>Vmax_actual</f>
        <v>251</v>
      </c>
      <c r="C108" s="74">
        <f>ROUNDUP(MAX(B55:B69),-0.5)</f>
        <v>84</v>
      </c>
    </row>
    <row r="109" ht="13.5" customHeight="1"/>
    <row r="110" spans="1:13" ht="12.75">
      <c r="A110" s="63" t="s">
        <v>17</v>
      </c>
      <c r="B110" s="59"/>
      <c r="C110" s="59"/>
      <c r="D110" s="59"/>
      <c r="E110" s="59"/>
      <c r="F110" s="58"/>
      <c r="G110" s="58"/>
      <c r="H110" s="58"/>
      <c r="I110" s="58"/>
      <c r="J110" s="58"/>
      <c r="K110" s="58"/>
      <c r="L110" s="58"/>
      <c r="M110" s="60"/>
    </row>
    <row r="111" spans="1:13" s="4" customFormat="1" ht="12.75">
      <c r="A111" s="50" t="s">
        <v>74</v>
      </c>
      <c r="B111" s="61" t="s">
        <v>53</v>
      </c>
      <c r="C111" s="51" t="s">
        <v>50</v>
      </c>
      <c r="D111" s="61" t="s">
        <v>95</v>
      </c>
      <c r="E111" s="51" t="s">
        <v>48</v>
      </c>
      <c r="F111" s="51" t="s">
        <v>96</v>
      </c>
      <c r="G111" s="61" t="s">
        <v>110</v>
      </c>
      <c r="H111" s="61" t="s">
        <v>49</v>
      </c>
      <c r="I111" s="51" t="s">
        <v>16</v>
      </c>
      <c r="J111" s="61" t="s">
        <v>52</v>
      </c>
      <c r="K111" s="61" t="s">
        <v>54</v>
      </c>
      <c r="L111" s="61" t="s">
        <v>55</v>
      </c>
      <c r="M111" s="62"/>
    </row>
    <row r="112" spans="1:13" ht="12.75">
      <c r="A112" s="85">
        <f>B76</f>
        <v>0</v>
      </c>
      <c r="B112" s="67">
        <f aca="true" t="shared" si="4" ref="B112:B138">A112*1000/3600</f>
        <v>0</v>
      </c>
      <c r="C112" s="86">
        <f>C113</f>
        <v>3150.0825383648385</v>
      </c>
      <c r="D112" s="24">
        <v>0</v>
      </c>
      <c r="E112" s="78">
        <f aca="true" t="shared" si="5" ref="E112:E138">M_tot*9.81*SIN(RADIANS(incline))+Cd*A*POWER(A112*1000/3600,2)</f>
        <v>0</v>
      </c>
      <c r="F112" s="86">
        <f aca="true" t="shared" si="6" ref="F112:F138">C112-E112</f>
        <v>3150.0825383648385</v>
      </c>
      <c r="G112" s="24">
        <v>0</v>
      </c>
      <c r="H112" s="87">
        <f aca="true" t="shared" si="7" ref="H112:H138">F112/M_tot</f>
        <v>9.453285901183156</v>
      </c>
      <c r="I112" s="88">
        <v>0</v>
      </c>
      <c r="J112" s="89">
        <f>I112</f>
        <v>0</v>
      </c>
      <c r="K112" s="90">
        <v>0</v>
      </c>
      <c r="L112" s="67">
        <f>K112</f>
        <v>0</v>
      </c>
      <c r="M112" s="72"/>
    </row>
    <row r="113" spans="1:13" ht="12.75">
      <c r="A113" s="92">
        <f aca="true" t="shared" si="8" ref="A113:A120">B80</f>
        <v>30.792156604295155</v>
      </c>
      <c r="B113" s="91">
        <f t="shared" si="4"/>
        <v>8.553376834526432</v>
      </c>
      <c r="C113" s="78">
        <f>C114</f>
        <v>3150.0825383648385</v>
      </c>
      <c r="D113" s="91">
        <f aca="true" t="shared" si="9" ref="D113:D138">C113*B113/1000</f>
        <v>26.943843010496032</v>
      </c>
      <c r="E113" s="78">
        <f t="shared" si="5"/>
        <v>14.632051054682684</v>
      </c>
      <c r="F113" s="78">
        <f t="shared" si="6"/>
        <v>3135.450487310156</v>
      </c>
      <c r="G113" s="91">
        <f aca="true" t="shared" si="10" ref="G113:G138">F113*B113/1000</f>
        <v>26.8186895639633</v>
      </c>
      <c r="H113" s="87">
        <f t="shared" si="7"/>
        <v>9.40937563525964</v>
      </c>
      <c r="I113" s="87">
        <f>(A113-A112)*1000/3600/H113+A112</f>
        <v>0.9090270349580334</v>
      </c>
      <c r="J113" s="87">
        <f aca="true" t="shared" si="11" ref="J113:J138">I113-I112</f>
        <v>0.9090270349580334</v>
      </c>
      <c r="K113" s="91">
        <f aca="true" t="shared" si="12" ref="K113:K138">(B112+B113)/2*J113</f>
        <v>3.887625391384146</v>
      </c>
      <c r="L113" s="91">
        <f aca="true" t="shared" si="13" ref="L113:L138">K113+L112</f>
        <v>3.887625391384146</v>
      </c>
      <c r="M113" s="72"/>
    </row>
    <row r="114" spans="1:13" ht="12.75">
      <c r="A114" s="92">
        <f t="shared" si="8"/>
        <v>41.056208805726875</v>
      </c>
      <c r="B114" s="91">
        <f t="shared" si="4"/>
        <v>11.404502446035243</v>
      </c>
      <c r="C114" s="78">
        <f>C115</f>
        <v>3150.0825383648385</v>
      </c>
      <c r="D114" s="91">
        <f t="shared" si="9"/>
        <v>35.92512401399471</v>
      </c>
      <c r="E114" s="78">
        <f t="shared" si="5"/>
        <v>26.012535208324774</v>
      </c>
      <c r="F114" s="78">
        <f t="shared" si="6"/>
        <v>3124.070003156514</v>
      </c>
      <c r="G114" s="91">
        <f t="shared" si="10"/>
        <v>35.62846399258379</v>
      </c>
      <c r="H114" s="87">
        <f t="shared" si="7"/>
        <v>9.375223206208016</v>
      </c>
      <c r="I114" s="87">
        <f aca="true" t="shared" si="14" ref="I114:I120">(A114-A113)*1000/3600/H114+I113</f>
        <v>1.2131398596661294</v>
      </c>
      <c r="J114" s="87">
        <f t="shared" si="11"/>
        <v>0.304112824708096</v>
      </c>
      <c r="K114" s="91">
        <f t="shared" si="12"/>
        <v>3.034723521597397</v>
      </c>
      <c r="L114" s="91">
        <f t="shared" si="13"/>
        <v>6.922348912981542</v>
      </c>
      <c r="M114" s="72"/>
    </row>
    <row r="115" spans="1:13" ht="12.75">
      <c r="A115" s="92">
        <f t="shared" si="8"/>
        <v>51.3202610071586</v>
      </c>
      <c r="B115" s="91">
        <f t="shared" si="4"/>
        <v>14.255628057544056</v>
      </c>
      <c r="C115" s="78">
        <f aca="true" t="shared" si="15" ref="C115:C120">C82</f>
        <v>3150.0825383648385</v>
      </c>
      <c r="D115" s="91">
        <f t="shared" si="9"/>
        <v>44.90640501749339</v>
      </c>
      <c r="E115" s="78">
        <f t="shared" si="5"/>
        <v>40.64458626300747</v>
      </c>
      <c r="F115" s="78">
        <f t="shared" si="6"/>
        <v>3109.437952101831</v>
      </c>
      <c r="G115" s="91">
        <f t="shared" si="10"/>
        <v>44.326990913175194</v>
      </c>
      <c r="H115" s="87">
        <f t="shared" si="7"/>
        <v>9.3313129402845</v>
      </c>
      <c r="I115" s="87">
        <f t="shared" si="14"/>
        <v>1.5186837450501605</v>
      </c>
      <c r="J115" s="87">
        <f t="shared" si="11"/>
        <v>0.3055438853840311</v>
      </c>
      <c r="K115" s="91">
        <f t="shared" si="12"/>
        <v>3.9201479867624567</v>
      </c>
      <c r="L115" s="91">
        <f t="shared" si="13"/>
        <v>10.842496899743999</v>
      </c>
      <c r="M115" s="72"/>
    </row>
    <row r="116" spans="1:13" ht="12.75">
      <c r="A116" s="92">
        <f t="shared" si="8"/>
        <v>61.58431320859031</v>
      </c>
      <c r="B116" s="91">
        <f t="shared" si="4"/>
        <v>17.106753669052864</v>
      </c>
      <c r="C116" s="78">
        <f t="shared" si="15"/>
        <v>3026.120956993999</v>
      </c>
      <c r="D116" s="91">
        <f t="shared" si="9"/>
        <v>51.767105784054856</v>
      </c>
      <c r="E116" s="78">
        <f t="shared" si="5"/>
        <v>58.528204218730735</v>
      </c>
      <c r="F116" s="78">
        <f t="shared" si="6"/>
        <v>2967.592752775268</v>
      </c>
      <c r="G116" s="91">
        <f t="shared" si="10"/>
        <v>50.765878211793</v>
      </c>
      <c r="H116" s="87">
        <f t="shared" si="7"/>
        <v>8.905640531192528</v>
      </c>
      <c r="I116" s="87">
        <f t="shared" si="14"/>
        <v>1.8388320377555054</v>
      </c>
      <c r="J116" s="87">
        <f t="shared" si="11"/>
        <v>0.32014829270534495</v>
      </c>
      <c r="K116" s="91">
        <f t="shared" si="12"/>
        <v>5.020306482471657</v>
      </c>
      <c r="L116" s="91">
        <f t="shared" si="13"/>
        <v>15.862803382215656</v>
      </c>
      <c r="M116" s="72"/>
    </row>
    <row r="117" spans="1:13" s="12" customFormat="1" ht="12.75">
      <c r="A117" s="92">
        <f t="shared" si="8"/>
        <v>71.84836541002204</v>
      </c>
      <c r="B117" s="91">
        <f t="shared" si="4"/>
        <v>19.95787928056168</v>
      </c>
      <c r="C117" s="78">
        <f t="shared" si="15"/>
        <v>2828.1991043850976</v>
      </c>
      <c r="D117" s="91">
        <f t="shared" si="9"/>
        <v>56.44485630671044</v>
      </c>
      <c r="E117" s="78">
        <f t="shared" si="5"/>
        <v>79.66338907549465</v>
      </c>
      <c r="F117" s="78">
        <f t="shared" si="6"/>
        <v>2748.535715309603</v>
      </c>
      <c r="G117" s="91">
        <f t="shared" si="10"/>
        <v>54.8549440044613</v>
      </c>
      <c r="H117" s="87">
        <f t="shared" si="7"/>
        <v>8.24825813609375</v>
      </c>
      <c r="I117" s="87">
        <f t="shared" si="14"/>
        <v>2.184496002736488</v>
      </c>
      <c r="J117" s="87">
        <f t="shared" si="11"/>
        <v>0.34566396498098273</v>
      </c>
      <c r="K117" s="91">
        <f t="shared" si="12"/>
        <v>6.405953992964271</v>
      </c>
      <c r="L117" s="91">
        <f t="shared" si="13"/>
        <v>22.268757375179927</v>
      </c>
      <c r="M117" s="142"/>
    </row>
    <row r="118" spans="1:13" ht="12.75">
      <c r="A118" s="92">
        <f t="shared" si="8"/>
        <v>82.11241761145375</v>
      </c>
      <c r="B118" s="91">
        <f t="shared" si="4"/>
        <v>22.809004892070487</v>
      </c>
      <c r="C118" s="78">
        <f t="shared" si="15"/>
        <v>2830.1522805621585</v>
      </c>
      <c r="D118" s="91">
        <f t="shared" si="9"/>
        <v>64.55295721264672</v>
      </c>
      <c r="E118" s="78">
        <f t="shared" si="5"/>
        <v>104.0501408332991</v>
      </c>
      <c r="F118" s="78">
        <f t="shared" si="6"/>
        <v>2726.1021397288596</v>
      </c>
      <c r="G118" s="91">
        <f t="shared" si="10"/>
        <v>62.179677041359376</v>
      </c>
      <c r="H118" s="87">
        <f t="shared" si="7"/>
        <v>8.180935771943682</v>
      </c>
      <c r="I118" s="87">
        <f t="shared" si="14"/>
        <v>2.533004497484323</v>
      </c>
      <c r="J118" s="87">
        <f t="shared" si="11"/>
        <v>0.34850849474783496</v>
      </c>
      <c r="K118" s="91">
        <f t="shared" si="12"/>
        <v>7.452311214029522</v>
      </c>
      <c r="L118" s="91">
        <f t="shared" si="13"/>
        <v>29.721068589209448</v>
      </c>
      <c r="M118" s="72"/>
    </row>
    <row r="119" spans="1:13" ht="12.75">
      <c r="A119" s="92">
        <f t="shared" si="8"/>
        <v>92.37646981288546</v>
      </c>
      <c r="B119" s="91">
        <f t="shared" si="4"/>
        <v>25.660130503579296</v>
      </c>
      <c r="C119" s="78">
        <f t="shared" si="15"/>
        <v>2712.5710747030544</v>
      </c>
      <c r="D119" s="91">
        <f t="shared" si="9"/>
        <v>69.60492777711471</v>
      </c>
      <c r="E119" s="78">
        <f t="shared" si="5"/>
        <v>131.68845949214412</v>
      </c>
      <c r="F119" s="78">
        <f t="shared" si="6"/>
        <v>2580.8826152109104</v>
      </c>
      <c r="G119" s="91">
        <f t="shared" si="10"/>
        <v>66.225784720731</v>
      </c>
      <c r="H119" s="87">
        <f t="shared" si="7"/>
        <v>7.745137132707184</v>
      </c>
      <c r="I119" s="87">
        <f t="shared" si="14"/>
        <v>2.901122655065898</v>
      </c>
      <c r="J119" s="87">
        <f t="shared" si="11"/>
        <v>0.36811815758157485</v>
      </c>
      <c r="K119" s="91">
        <f t="shared" si="12"/>
        <v>8.921184410709248</v>
      </c>
      <c r="L119" s="91">
        <f t="shared" si="13"/>
        <v>38.642252999918696</v>
      </c>
      <c r="M119" s="72"/>
    </row>
    <row r="120" spans="1:13" ht="12.75">
      <c r="A120" s="93">
        <f t="shared" si="8"/>
        <v>98.5349011337445</v>
      </c>
      <c r="B120" s="94">
        <f t="shared" si="4"/>
        <v>27.37080587048458</v>
      </c>
      <c r="C120" s="95">
        <f t="shared" si="15"/>
        <v>2506.5760938956314</v>
      </c>
      <c r="D120" s="94">
        <f t="shared" si="9"/>
        <v>68.60700766561486</v>
      </c>
      <c r="E120" s="95">
        <f t="shared" si="5"/>
        <v>149.83220279995064</v>
      </c>
      <c r="F120" s="95">
        <f t="shared" si="6"/>
        <v>2356.7438910956807</v>
      </c>
      <c r="G120" s="94">
        <f t="shared" si="10"/>
        <v>64.50597952963034</v>
      </c>
      <c r="H120" s="96">
        <f t="shared" si="7"/>
        <v>7.072504776322152</v>
      </c>
      <c r="I120" s="96">
        <f t="shared" si="14"/>
        <v>3.142999531930289</v>
      </c>
      <c r="J120" s="96">
        <f t="shared" si="11"/>
        <v>0.24187687686439086</v>
      </c>
      <c r="K120" s="94">
        <f t="shared" si="12"/>
        <v>6.413478633676397</v>
      </c>
      <c r="L120" s="94">
        <f t="shared" si="13"/>
        <v>45.055731633595094</v>
      </c>
      <c r="M120" s="143"/>
    </row>
    <row r="121" spans="1:13" ht="12.75">
      <c r="A121" s="97">
        <f>A120</f>
        <v>98.5349011337445</v>
      </c>
      <c r="B121" s="98">
        <f t="shared" si="4"/>
        <v>27.37080587048458</v>
      </c>
      <c r="C121" s="99">
        <f>C122</f>
        <v>2014.9557162178808</v>
      </c>
      <c r="D121" s="98">
        <f t="shared" si="9"/>
        <v>55.15096174622283</v>
      </c>
      <c r="E121" s="99">
        <f t="shared" si="5"/>
        <v>149.83220279995064</v>
      </c>
      <c r="F121" s="99">
        <f t="shared" si="6"/>
        <v>1865.12351341793</v>
      </c>
      <c r="G121" s="98">
        <f t="shared" si="10"/>
        <v>51.04993361023831</v>
      </c>
      <c r="H121" s="100">
        <f t="shared" si="7"/>
        <v>5.5971694705216155</v>
      </c>
      <c r="I121" s="100">
        <f>(A121-A120)*1000/3600/H121+I120+Gearchange</f>
        <v>3.392999531930289</v>
      </c>
      <c r="J121" s="100">
        <f t="shared" si="11"/>
        <v>0.25</v>
      </c>
      <c r="K121" s="98">
        <f t="shared" si="12"/>
        <v>6.842701467621145</v>
      </c>
      <c r="L121" s="98">
        <f t="shared" si="13"/>
        <v>51.89843310121624</v>
      </c>
      <c r="M121" s="144" t="s">
        <v>111</v>
      </c>
    </row>
    <row r="122" spans="1:13" s="12" customFormat="1" ht="12.75">
      <c r="A122" s="92">
        <f>D84</f>
        <v>100.84662460253543</v>
      </c>
      <c r="B122" s="91">
        <f t="shared" si="4"/>
        <v>28.012951278482063</v>
      </c>
      <c r="C122" s="78">
        <f>E84</f>
        <v>2014.9557162178808</v>
      </c>
      <c r="D122" s="91">
        <f t="shared" si="9"/>
        <v>56.44485630671043</v>
      </c>
      <c r="E122" s="78">
        <f t="shared" si="5"/>
        <v>156.94508786612198</v>
      </c>
      <c r="F122" s="78">
        <f t="shared" si="6"/>
        <v>1858.010628351759</v>
      </c>
      <c r="G122" s="91">
        <f t="shared" si="10"/>
        <v>52.048361206919665</v>
      </c>
      <c r="H122" s="87">
        <f t="shared" si="7"/>
        <v>5.575823954874373</v>
      </c>
      <c r="I122" s="87">
        <f>(A122-A121)*1000/3600/H122+I121</f>
        <v>3.508165543840711</v>
      </c>
      <c r="J122" s="87">
        <f t="shared" si="11"/>
        <v>0.1151660119104223</v>
      </c>
      <c r="K122" s="91">
        <f t="shared" si="12"/>
        <v>3.1891632177309144</v>
      </c>
      <c r="L122" s="91">
        <f t="shared" si="13"/>
        <v>55.087596318947156</v>
      </c>
      <c r="M122" s="142"/>
    </row>
    <row r="123" spans="1:13" ht="12.75">
      <c r="A123" s="92">
        <f>D85</f>
        <v>115.25328526004049</v>
      </c>
      <c r="B123" s="91">
        <f t="shared" si="4"/>
        <v>32.01480146112236</v>
      </c>
      <c r="C123" s="78">
        <f>E85</f>
        <v>2016.3472602207933</v>
      </c>
      <c r="D123" s="91">
        <f t="shared" si="9"/>
        <v>64.55295721264672</v>
      </c>
      <c r="E123" s="78">
        <f t="shared" si="5"/>
        <v>204.98950251901647</v>
      </c>
      <c r="F123" s="78">
        <f t="shared" si="6"/>
        <v>1811.3577577017768</v>
      </c>
      <c r="G123" s="91">
        <f t="shared" si="10"/>
        <v>57.99025898788617</v>
      </c>
      <c r="H123" s="87">
        <f t="shared" si="7"/>
        <v>5.435820345764459</v>
      </c>
      <c r="I123" s="87">
        <f>(A123-A122)*1000/3600/H123+I122</f>
        <v>4.244365404779548</v>
      </c>
      <c r="J123" s="87">
        <f t="shared" si="11"/>
        <v>0.7361998609388367</v>
      </c>
      <c r="K123" s="91">
        <f t="shared" si="12"/>
        <v>22.096211609683827</v>
      </c>
      <c r="L123" s="91">
        <f t="shared" si="13"/>
        <v>77.18380792863098</v>
      </c>
      <c r="M123" s="72"/>
    </row>
    <row r="124" spans="1:13" ht="12.75">
      <c r="A124" s="92">
        <f>D86</f>
        <v>129.65994591754554</v>
      </c>
      <c r="B124" s="91">
        <f t="shared" si="4"/>
        <v>36.01665164376265</v>
      </c>
      <c r="C124" s="78">
        <f>E86</f>
        <v>1932.5763112454367</v>
      </c>
      <c r="D124" s="91">
        <f t="shared" si="9"/>
        <v>69.60492777711471</v>
      </c>
      <c r="E124" s="78">
        <f t="shared" si="5"/>
        <v>259.43983912563016</v>
      </c>
      <c r="F124" s="78">
        <f t="shared" si="6"/>
        <v>1673.1364721198065</v>
      </c>
      <c r="G124" s="91">
        <f t="shared" si="10"/>
        <v>60.26077346881307</v>
      </c>
      <c r="H124" s="87">
        <f t="shared" si="7"/>
        <v>5.021023173207288</v>
      </c>
      <c r="I124" s="87">
        <f>(A124-A123)*1000/3600/H124+I123</f>
        <v>5.041384268184639</v>
      </c>
      <c r="J124" s="87">
        <f t="shared" si="11"/>
        <v>0.797018863405091</v>
      </c>
      <c r="K124" s="91">
        <f t="shared" si="12"/>
        <v>27.111175714726098</v>
      </c>
      <c r="L124" s="91">
        <f t="shared" si="13"/>
        <v>104.29498364335709</v>
      </c>
      <c r="M124" s="72"/>
    </row>
    <row r="125" spans="1:13" ht="12.75">
      <c r="A125" s="93">
        <f>D87</f>
        <v>138.30394231204858</v>
      </c>
      <c r="B125" s="94">
        <f t="shared" si="4"/>
        <v>38.417761753346824</v>
      </c>
      <c r="C125" s="95">
        <f>E87</f>
        <v>1785.814803738223</v>
      </c>
      <c r="D125" s="94">
        <f t="shared" si="9"/>
        <v>68.60700766561486</v>
      </c>
      <c r="E125" s="95">
        <f t="shared" si="5"/>
        <v>295.1848836273836</v>
      </c>
      <c r="F125" s="95">
        <f t="shared" si="6"/>
        <v>1490.6299201108393</v>
      </c>
      <c r="G125" s="94">
        <f t="shared" si="10"/>
        <v>57.266665133228635</v>
      </c>
      <c r="H125" s="96">
        <f t="shared" si="7"/>
        <v>4.473327487787093</v>
      </c>
      <c r="I125" s="96">
        <f>(A125-A124)*1000/3600/H125+I124</f>
        <v>5.578145798866127</v>
      </c>
      <c r="J125" s="96">
        <f t="shared" si="11"/>
        <v>0.5367615306814884</v>
      </c>
      <c r="K125" s="94">
        <f t="shared" si="12"/>
        <v>19.97676483520558</v>
      </c>
      <c r="L125" s="94">
        <f t="shared" si="13"/>
        <v>124.27174847856267</v>
      </c>
      <c r="M125" s="72"/>
    </row>
    <row r="126" spans="1:13" s="12" customFormat="1" ht="12.75">
      <c r="A126" s="97">
        <f>A125</f>
        <v>138.30394231204858</v>
      </c>
      <c r="B126" s="98">
        <f t="shared" si="4"/>
        <v>38.417761753346824</v>
      </c>
      <c r="C126" s="99">
        <f>C127</f>
        <v>1600.1969657280497</v>
      </c>
      <c r="D126" s="98">
        <f t="shared" si="9"/>
        <v>61.4759857877687</v>
      </c>
      <c r="E126" s="99">
        <f t="shared" si="5"/>
        <v>295.1848836273836</v>
      </c>
      <c r="F126" s="99">
        <f t="shared" si="6"/>
        <v>1305.012082100666</v>
      </c>
      <c r="G126" s="98">
        <f t="shared" si="10"/>
        <v>50.13564325538247</v>
      </c>
      <c r="H126" s="100">
        <f t="shared" si="7"/>
        <v>3.9162949434968377</v>
      </c>
      <c r="I126" s="100">
        <f>(A126-A125)*1000/3600/H126+I125+Gearchange</f>
        <v>5.828145798866127</v>
      </c>
      <c r="J126" s="100">
        <f t="shared" si="11"/>
        <v>0.25</v>
      </c>
      <c r="K126" s="98">
        <f t="shared" si="12"/>
        <v>9.604440438336706</v>
      </c>
      <c r="L126" s="98">
        <f t="shared" si="13"/>
        <v>133.87618891689937</v>
      </c>
      <c r="M126" s="145" t="s">
        <v>111</v>
      </c>
    </row>
    <row r="127" spans="1:16" ht="12.75">
      <c r="A127" s="92">
        <f>F85</f>
        <v>145.22627585398294</v>
      </c>
      <c r="B127" s="91">
        <f t="shared" si="4"/>
        <v>40.34063218166193</v>
      </c>
      <c r="C127" s="78">
        <f>G85</f>
        <v>1600.1969657280497</v>
      </c>
      <c r="D127" s="91">
        <f t="shared" si="9"/>
        <v>64.55295721264675</v>
      </c>
      <c r="E127" s="78">
        <f t="shared" si="5"/>
        <v>325.4733209632277</v>
      </c>
      <c r="F127" s="78">
        <f t="shared" si="6"/>
        <v>1274.723644764822</v>
      </c>
      <c r="G127" s="91">
        <f t="shared" si="10"/>
        <v>51.42315768672517</v>
      </c>
      <c r="H127" s="87">
        <f t="shared" si="7"/>
        <v>3.8254004179888077</v>
      </c>
      <c r="I127" s="87">
        <f>(A127-A126)*1000/3600/H127+I126</f>
        <v>6.33080440141996</v>
      </c>
      <c r="J127" s="87">
        <f t="shared" si="11"/>
        <v>0.5026586025538329</v>
      </c>
      <c r="K127" s="91">
        <f t="shared" si="12"/>
        <v>19.794292117377882</v>
      </c>
      <c r="L127" s="91">
        <f t="shared" si="13"/>
        <v>153.67048103427726</v>
      </c>
      <c r="M127" s="62"/>
      <c r="N127" s="4"/>
      <c r="P127" s="4"/>
    </row>
    <row r="128" spans="1:13" s="12" customFormat="1" ht="12.75">
      <c r="A128" s="92">
        <f>F86</f>
        <v>163.3795603357308</v>
      </c>
      <c r="B128" s="91">
        <f t="shared" si="4"/>
        <v>45.383211204369665</v>
      </c>
      <c r="C128" s="78">
        <f>G86</f>
        <v>1533.7153526591549</v>
      </c>
      <c r="D128" s="91">
        <f t="shared" si="9"/>
        <v>69.60492777711474</v>
      </c>
      <c r="E128" s="78">
        <f t="shared" si="5"/>
        <v>411.92717184408485</v>
      </c>
      <c r="F128" s="78">
        <f t="shared" si="6"/>
        <v>1121.78818081507</v>
      </c>
      <c r="G128" s="91">
        <f t="shared" si="10"/>
        <v>50.91034993649595</v>
      </c>
      <c r="H128" s="87">
        <f t="shared" si="7"/>
        <v>3.36644651835621</v>
      </c>
      <c r="I128" s="87">
        <f>(A128-A127)*1000/3600/H128+I127</f>
        <v>7.828698098887626</v>
      </c>
      <c r="J128" s="87">
        <f t="shared" si="11"/>
        <v>1.4978936974676662</v>
      </c>
      <c r="K128" s="91">
        <f t="shared" si="12"/>
        <v>64.20260236532101</v>
      </c>
      <c r="L128" s="91">
        <f t="shared" si="13"/>
        <v>217.87308339959827</v>
      </c>
      <c r="M128" s="142"/>
    </row>
    <row r="129" spans="1:13" ht="12.75">
      <c r="A129" s="93">
        <f>F87</f>
        <v>174.2715310247795</v>
      </c>
      <c r="B129" s="94">
        <f t="shared" si="4"/>
        <v>48.40875861799431</v>
      </c>
      <c r="C129" s="95">
        <f>G87</f>
        <v>1417.2436894531838</v>
      </c>
      <c r="D129" s="94">
        <f t="shared" si="9"/>
        <v>68.60700766561486</v>
      </c>
      <c r="E129" s="95">
        <f t="shared" si="5"/>
        <v>468.6815821870477</v>
      </c>
      <c r="F129" s="95">
        <f t="shared" si="6"/>
        <v>948.5621072661361</v>
      </c>
      <c r="G129" s="94">
        <f t="shared" si="10"/>
        <v>45.918714084822405</v>
      </c>
      <c r="H129" s="96">
        <f t="shared" si="7"/>
        <v>2.846601219430333</v>
      </c>
      <c r="I129" s="96">
        <f>(A129-A128)*1000/3600/H129+I128</f>
        <v>8.89156120488676</v>
      </c>
      <c r="J129" s="96">
        <f t="shared" si="11"/>
        <v>1.0628631059991331</v>
      </c>
      <c r="K129" s="94">
        <f t="shared" si="12"/>
        <v>49.84401218158737</v>
      </c>
      <c r="L129" s="94">
        <f t="shared" si="13"/>
        <v>267.7170955811856</v>
      </c>
      <c r="M129" s="72"/>
    </row>
    <row r="130" spans="1:13" ht="12.75">
      <c r="A130" s="97">
        <f>A129</f>
        <v>174.2715310247795</v>
      </c>
      <c r="B130" s="98">
        <f t="shared" si="4"/>
        <v>48.40875861799431</v>
      </c>
      <c r="C130" s="99">
        <f>C131</f>
        <v>1281.8552334724798</v>
      </c>
      <c r="D130" s="98">
        <f t="shared" si="9"/>
        <v>62.05302058038201</v>
      </c>
      <c r="E130" s="99">
        <f t="shared" si="5"/>
        <v>468.6815821870477</v>
      </c>
      <c r="F130" s="99">
        <f t="shared" si="6"/>
        <v>813.173651285432</v>
      </c>
      <c r="G130" s="98">
        <f t="shared" si="10"/>
        <v>39.36472699958956</v>
      </c>
      <c r="H130" s="100">
        <f t="shared" si="7"/>
        <v>2.4403052679694213</v>
      </c>
      <c r="I130" s="100">
        <f>(A130-A129)*1000/3600/H130+I129+Gearchange</f>
        <v>9.14156120488676</v>
      </c>
      <c r="J130" s="100">
        <f t="shared" si="11"/>
        <v>0.25</v>
      </c>
      <c r="K130" s="98">
        <f t="shared" si="12"/>
        <v>12.102189654498577</v>
      </c>
      <c r="L130" s="98">
        <f t="shared" si="13"/>
        <v>279.8192852356842</v>
      </c>
      <c r="M130" s="144" t="s">
        <v>111</v>
      </c>
    </row>
    <row r="131" spans="1:13" s="12" customFormat="1" ht="12.75">
      <c r="A131" s="92">
        <f>H86</f>
        <v>195.48052966855766</v>
      </c>
      <c r="B131" s="91">
        <f t="shared" si="4"/>
        <v>54.300147130154905</v>
      </c>
      <c r="C131" s="78">
        <f>I86</f>
        <v>1281.8552334724798</v>
      </c>
      <c r="D131" s="91">
        <f t="shared" si="9"/>
        <v>69.60492777711471</v>
      </c>
      <c r="E131" s="78">
        <f t="shared" si="5"/>
        <v>589.7011956712939</v>
      </c>
      <c r="F131" s="78">
        <f t="shared" si="6"/>
        <v>692.1540378011858</v>
      </c>
      <c r="G131" s="91">
        <f t="shared" si="10"/>
        <v>37.58406608933519</v>
      </c>
      <c r="H131" s="87">
        <f t="shared" si="7"/>
        <v>2.0771297028900664</v>
      </c>
      <c r="I131" s="87">
        <f>(A131-A130)*1000/3600/H131+I130</f>
        <v>11.977873498704266</v>
      </c>
      <c r="J131" s="87">
        <f t="shared" si="11"/>
        <v>2.8363122938175067</v>
      </c>
      <c r="K131" s="91">
        <f t="shared" si="12"/>
        <v>145.6572660290096</v>
      </c>
      <c r="L131" s="91">
        <f t="shared" si="13"/>
        <v>425.47655126469385</v>
      </c>
      <c r="M131" s="142"/>
    </row>
    <row r="132" spans="1:13" ht="12.75">
      <c r="A132" s="93">
        <f>H87</f>
        <v>208.51256497979483</v>
      </c>
      <c r="B132" s="94">
        <f t="shared" si="4"/>
        <v>57.9201569388319</v>
      </c>
      <c r="C132" s="95">
        <f>I87</f>
        <v>1184.5100443714111</v>
      </c>
      <c r="D132" s="94">
        <f t="shared" si="9"/>
        <v>68.60700766561487</v>
      </c>
      <c r="E132" s="95">
        <f t="shared" si="5"/>
        <v>670.9489159637835</v>
      </c>
      <c r="F132" s="95">
        <f t="shared" si="6"/>
        <v>513.5611284076276</v>
      </c>
      <c r="G132" s="94">
        <f t="shared" si="10"/>
        <v>29.745541155053395</v>
      </c>
      <c r="H132" s="96">
        <f t="shared" si="7"/>
        <v>1.5411787200635112</v>
      </c>
      <c r="I132" s="96">
        <f>(A132-A131)*1000/3600/H132+I131</f>
        <v>14.326731396591548</v>
      </c>
      <c r="J132" s="96">
        <f t="shared" si="11"/>
        <v>2.3488578978872816</v>
      </c>
      <c r="K132" s="94">
        <f t="shared" si="12"/>
        <v>131.79477375787596</v>
      </c>
      <c r="L132" s="94">
        <f t="shared" si="13"/>
        <v>557.2713250225698</v>
      </c>
      <c r="M132" s="72"/>
    </row>
    <row r="133" spans="1:13" ht="12.75">
      <c r="A133" s="97">
        <f>A132</f>
        <v>208.51256497979483</v>
      </c>
      <c r="B133" s="98">
        <f t="shared" si="4"/>
        <v>57.9201569388319</v>
      </c>
      <c r="C133" s="99">
        <f>C134</f>
        <v>1145.0815981391881</v>
      </c>
      <c r="D133" s="98">
        <f t="shared" si="9"/>
        <v>66.32330587199021</v>
      </c>
      <c r="E133" s="99">
        <f t="shared" si="5"/>
        <v>670.9489159637835</v>
      </c>
      <c r="F133" s="99">
        <f t="shared" si="6"/>
        <v>474.1326821754046</v>
      </c>
      <c r="G133" s="98">
        <f t="shared" si="10"/>
        <v>27.46183936142874</v>
      </c>
      <c r="H133" s="100">
        <f t="shared" si="7"/>
        <v>1.4228553522364227</v>
      </c>
      <c r="I133" s="100">
        <f>(A133-A132)*1000/3600/H133+I132+Gearchange</f>
        <v>14.576731396591548</v>
      </c>
      <c r="J133" s="100">
        <f t="shared" si="11"/>
        <v>0.25</v>
      </c>
      <c r="K133" s="98">
        <f t="shared" si="12"/>
        <v>14.480039234707975</v>
      </c>
      <c r="L133" s="98">
        <f t="shared" si="13"/>
        <v>571.7513642572778</v>
      </c>
      <c r="M133" s="144" t="s">
        <v>111</v>
      </c>
    </row>
    <row r="134" spans="1:13" ht="12.75">
      <c r="A134" s="92">
        <f>J86</f>
        <v>218.82959293452424</v>
      </c>
      <c r="B134" s="91">
        <f t="shared" si="4"/>
        <v>60.78599803736784</v>
      </c>
      <c r="C134" s="78">
        <f>K86</f>
        <v>1145.0815981391881</v>
      </c>
      <c r="D134" s="91">
        <f t="shared" si="9"/>
        <v>69.60492777711471</v>
      </c>
      <c r="E134" s="78">
        <f t="shared" si="5"/>
        <v>738.9875114797774</v>
      </c>
      <c r="F134" s="78">
        <f t="shared" si="6"/>
        <v>406.0940866594108</v>
      </c>
      <c r="G134" s="91">
        <f t="shared" si="10"/>
        <v>24.68483435466563</v>
      </c>
      <c r="H134" s="87">
        <f t="shared" si="7"/>
        <v>1.2186739417831214</v>
      </c>
      <c r="I134" s="87">
        <f>(A134-A133)*1000/3600/H134+I133</f>
        <v>16.928337515569318</v>
      </c>
      <c r="J134" s="87">
        <f t="shared" si="11"/>
        <v>2.35160611897777</v>
      </c>
      <c r="K134" s="91">
        <f t="shared" si="12"/>
        <v>139.5750602011774</v>
      </c>
      <c r="L134" s="91">
        <f t="shared" si="13"/>
        <v>711.3264244584552</v>
      </c>
      <c r="M134" s="72"/>
    </row>
    <row r="135" spans="1:13" ht="12.75">
      <c r="A135" s="93">
        <f>J87</f>
        <v>233.41823246349253</v>
      </c>
      <c r="B135" s="94">
        <f t="shared" si="4"/>
        <v>64.8383979065257</v>
      </c>
      <c r="C135" s="95">
        <f>M87</f>
        <v>984.9689257855463</v>
      </c>
      <c r="D135" s="94">
        <f t="shared" si="9"/>
        <v>63.863807135646425</v>
      </c>
      <c r="E135" s="95">
        <f t="shared" si="5"/>
        <v>840.8035686169914</v>
      </c>
      <c r="F135" s="95">
        <f t="shared" si="6"/>
        <v>144.16535716855492</v>
      </c>
      <c r="G135" s="94">
        <f t="shared" si="10"/>
        <v>9.347450792431161</v>
      </c>
      <c r="H135" s="96">
        <f t="shared" si="7"/>
        <v>0.43263512043337204</v>
      </c>
      <c r="I135" s="96">
        <f>(A135-A134)*1000/3600/H135+I134</f>
        <v>26.295121851289807</v>
      </c>
      <c r="J135" s="96">
        <f t="shared" si="11"/>
        <v>9.366784335720489</v>
      </c>
      <c r="K135" s="94">
        <f t="shared" si="12"/>
        <v>588.3483120558053</v>
      </c>
      <c r="L135" s="94">
        <f t="shared" si="13"/>
        <v>1299.6747365142605</v>
      </c>
      <c r="M135" s="72"/>
    </row>
    <row r="136" spans="1:13" ht="12.75">
      <c r="A136" s="97">
        <f>A135</f>
        <v>233.41823246349253</v>
      </c>
      <c r="B136" s="98">
        <f t="shared" si="4"/>
        <v>64.8383979065257</v>
      </c>
      <c r="C136" s="99">
        <f>C137</f>
        <v>1065.9154629591949</v>
      </c>
      <c r="D136" s="98">
        <f t="shared" si="9"/>
        <v>69.11225092206683</v>
      </c>
      <c r="E136" s="99">
        <f t="shared" si="5"/>
        <v>840.8035686169914</v>
      </c>
      <c r="F136" s="99">
        <f t="shared" si="6"/>
        <v>225.11189434220353</v>
      </c>
      <c r="G136" s="98">
        <f t="shared" si="10"/>
        <v>14.595894578851563</v>
      </c>
      <c r="H136" s="100">
        <f t="shared" si="7"/>
        <v>0.6755528056983621</v>
      </c>
      <c r="I136" s="100">
        <f>(A136-A135)*1000/3600/H136+I135+Gearchange</f>
        <v>26.545121851289807</v>
      </c>
      <c r="J136" s="100">
        <f t="shared" si="11"/>
        <v>0.25</v>
      </c>
      <c r="K136" s="98">
        <f t="shared" si="12"/>
        <v>16.209599476631425</v>
      </c>
      <c r="L136" s="98">
        <f t="shared" si="13"/>
        <v>1315.884335990892</v>
      </c>
      <c r="M136" s="144" t="s">
        <v>111</v>
      </c>
    </row>
    <row r="137" spans="1:13" ht="12.75">
      <c r="A137" s="92">
        <f>L86</f>
        <v>235.0821886962396</v>
      </c>
      <c r="B137" s="91">
        <f t="shared" si="4"/>
        <v>65.30060797117767</v>
      </c>
      <c r="C137" s="78">
        <f>M86</f>
        <v>1065.9154629591949</v>
      </c>
      <c r="D137" s="91">
        <f t="shared" si="9"/>
        <v>69.60492777711474</v>
      </c>
      <c r="E137" s="78">
        <f t="shared" si="5"/>
        <v>852.8338802810866</v>
      </c>
      <c r="F137" s="78">
        <f t="shared" si="6"/>
        <v>213.08158267810825</v>
      </c>
      <c r="G137" s="91">
        <f t="shared" si="10"/>
        <v>13.914356896341229</v>
      </c>
      <c r="H137" s="87">
        <f t="shared" si="7"/>
        <v>0.6394502673502511</v>
      </c>
      <c r="I137" s="87">
        <f>(A137-A136)*1000/3600/H137+I136</f>
        <v>27.267945952321565</v>
      </c>
      <c r="J137" s="87">
        <f t="shared" si="11"/>
        <v>0.7228241010317582</v>
      </c>
      <c r="K137" s="91">
        <f t="shared" si="12"/>
        <v>47.033804966358815</v>
      </c>
      <c r="L137" s="91">
        <f t="shared" si="13"/>
        <v>1362.9181409572507</v>
      </c>
      <c r="M137" s="72"/>
    </row>
    <row r="138" spans="1:13" ht="12.75">
      <c r="A138" s="101">
        <f>L87</f>
        <v>250.75433460932223</v>
      </c>
      <c r="B138" s="102">
        <f t="shared" si="4"/>
        <v>69.65398183592283</v>
      </c>
      <c r="C138" s="79">
        <f>M87</f>
        <v>984.9689257855463</v>
      </c>
      <c r="D138" s="102">
        <f t="shared" si="9"/>
        <v>68.60700766561487</v>
      </c>
      <c r="E138" s="79">
        <f t="shared" si="5"/>
        <v>970.3354371198137</v>
      </c>
      <c r="F138" s="79">
        <f t="shared" si="6"/>
        <v>14.633488665732557</v>
      </c>
      <c r="G138" s="102">
        <f t="shared" si="10"/>
        <v>1.0192807537191182</v>
      </c>
      <c r="H138" s="103">
        <f t="shared" si="7"/>
        <v>0.043914580143255715</v>
      </c>
      <c r="I138" s="103">
        <f>(A138-A137)*1000/3600/H138+I137</f>
        <v>126.40071348747365</v>
      </c>
      <c r="J138" s="103">
        <f t="shared" si="11"/>
        <v>99.13276753515208</v>
      </c>
      <c r="K138" s="102">
        <f t="shared" si="12"/>
        <v>6689.210989574549</v>
      </c>
      <c r="L138" s="102">
        <f t="shared" si="13"/>
        <v>8052.129130531799</v>
      </c>
      <c r="M138" s="74"/>
    </row>
    <row r="139" spans="1:6" ht="12.75">
      <c r="A139" s="28"/>
      <c r="B139" s="1"/>
      <c r="C139" s="1"/>
      <c r="D139" s="1"/>
      <c r="F139" s="2"/>
    </row>
    <row r="140" spans="1:6" ht="12.75">
      <c r="A140" s="1"/>
      <c r="B140" s="1"/>
      <c r="C140" s="1"/>
      <c r="D140" s="1"/>
      <c r="F140" s="2"/>
    </row>
    <row r="141" spans="1:6" ht="12.75">
      <c r="A141" s="1"/>
      <c r="B141" s="1"/>
      <c r="C141" s="1"/>
      <c r="D141" s="1"/>
      <c r="F141" s="2"/>
    </row>
    <row r="142" spans="1:6" s="12" customFormat="1" ht="12.75">
      <c r="A142" s="156"/>
      <c r="B142" s="157"/>
      <c r="C142" s="157"/>
      <c r="D142" s="157"/>
      <c r="F142" s="158"/>
    </row>
    <row r="143" spans="1:6" ht="12.75">
      <c r="A143" s="1"/>
      <c r="B143" s="1"/>
      <c r="C143" s="1"/>
      <c r="D143" s="1"/>
      <c r="F143" s="2"/>
    </row>
    <row r="144" spans="1:6" ht="12.75">
      <c r="A144" s="1"/>
      <c r="B144" s="1"/>
      <c r="C144" s="1"/>
      <c r="D144" s="1"/>
      <c r="F144" s="2"/>
    </row>
    <row r="145" spans="1:6" ht="12.75">
      <c r="A145" s="1"/>
      <c r="B145" s="1"/>
      <c r="C145" s="1"/>
      <c r="D145" s="1"/>
      <c r="F145" s="2"/>
    </row>
    <row r="146" spans="1:6" s="12" customFormat="1" ht="12.75">
      <c r="A146" s="157"/>
      <c r="B146" s="157"/>
      <c r="C146" s="157"/>
      <c r="D146" s="157"/>
      <c r="F146" s="158"/>
    </row>
    <row r="147" spans="1:6" ht="12.75">
      <c r="A147" s="1"/>
      <c r="B147" s="1"/>
      <c r="C147" s="1"/>
      <c r="D147" s="1"/>
      <c r="F147" s="2"/>
    </row>
    <row r="148" spans="1:6" ht="12.75">
      <c r="A148" s="1"/>
      <c r="B148" s="1"/>
      <c r="C148" s="1"/>
      <c r="D148" s="1"/>
      <c r="F148" s="2"/>
    </row>
    <row r="149" spans="1:6" s="12" customFormat="1" ht="12.75">
      <c r="A149" s="157"/>
      <c r="B149" s="157"/>
      <c r="C149" s="157"/>
      <c r="D149" s="157"/>
      <c r="F149" s="158"/>
    </row>
    <row r="150" spans="1:6" ht="12.75">
      <c r="A150" s="1"/>
      <c r="B150" s="1"/>
      <c r="C150" s="1"/>
      <c r="D150" s="1"/>
      <c r="F150" s="2"/>
    </row>
    <row r="151" spans="1:6" ht="12.75">
      <c r="A151" s="1"/>
      <c r="B151" s="1"/>
      <c r="C151" s="1"/>
      <c r="D151" s="1"/>
      <c r="F151" s="2"/>
    </row>
    <row r="152" spans="1:2" ht="12.75">
      <c r="A152" s="7"/>
      <c r="B152" s="7"/>
    </row>
    <row r="153" spans="1:2" ht="12.75">
      <c r="A153" s="7"/>
      <c r="B153" s="7"/>
    </row>
    <row r="154" spans="1:2" ht="12.75">
      <c r="A154" s="7"/>
      <c r="B154" s="7"/>
    </row>
    <row r="155" spans="1:2" ht="12.75">
      <c r="A155" s="7"/>
      <c r="B155" s="7"/>
    </row>
    <row r="156" spans="1:2" ht="12.75">
      <c r="A156" s="7"/>
      <c r="B156" s="7"/>
    </row>
    <row r="157" spans="1:2" ht="12.75">
      <c r="A157" s="7"/>
      <c r="B157" s="7"/>
    </row>
    <row r="158" spans="1:2" ht="12.75">
      <c r="A158" s="7"/>
      <c r="B158" s="7"/>
    </row>
    <row r="159" spans="1:2" ht="12.75">
      <c r="A159" s="7"/>
      <c r="B159" s="7"/>
    </row>
    <row r="160" spans="1:2" ht="12.75">
      <c r="A160" s="7"/>
      <c r="B160" s="7"/>
    </row>
    <row r="161" spans="1:2" ht="12.75">
      <c r="A161" s="7"/>
      <c r="B161" s="7"/>
    </row>
    <row r="162" spans="1:2" ht="12.75">
      <c r="A162" s="7"/>
      <c r="B162" s="7"/>
    </row>
    <row r="163" spans="1:2" ht="12.75">
      <c r="A163" s="7"/>
      <c r="B163" s="7"/>
    </row>
    <row r="164" spans="1:2" ht="12.75">
      <c r="A164" s="7"/>
      <c r="B164" s="7"/>
    </row>
    <row r="165" spans="1:2" ht="12.75">
      <c r="A165" s="7"/>
      <c r="B165" s="7"/>
    </row>
    <row r="166" spans="1:2" ht="12.75">
      <c r="A166" s="7"/>
      <c r="B166" s="7"/>
    </row>
    <row r="167" spans="1:2" ht="12.75">
      <c r="A167" s="7"/>
      <c r="B167" s="7"/>
    </row>
    <row r="168" spans="1:2" ht="12.75">
      <c r="A168" s="7"/>
      <c r="B168" s="7"/>
    </row>
    <row r="169" spans="1:2" ht="12.75">
      <c r="A169" s="7"/>
      <c r="B169" s="7"/>
    </row>
    <row r="170" spans="1:2" ht="12.75">
      <c r="A170" s="7"/>
      <c r="B170" s="7"/>
    </row>
    <row r="171" spans="1:2" ht="12.75">
      <c r="A171" s="7"/>
      <c r="B171" s="7"/>
    </row>
    <row r="172" spans="1:2" ht="12.75">
      <c r="A172" s="7"/>
      <c r="B172" s="7"/>
    </row>
    <row r="173" spans="1:2" ht="12.75">
      <c r="A173" s="7"/>
      <c r="B173" s="7"/>
    </row>
    <row r="174" spans="1:2" ht="12.75">
      <c r="A174" s="7"/>
      <c r="B174" s="7"/>
    </row>
    <row r="175" spans="1:2" ht="12.75">
      <c r="A175" s="7"/>
      <c r="B175" s="7"/>
    </row>
    <row r="176" spans="1:2" ht="12.75">
      <c r="A176" s="7"/>
      <c r="B176" s="7"/>
    </row>
    <row r="177" spans="1:2" ht="12.75">
      <c r="A177" s="7"/>
      <c r="B177" s="7"/>
    </row>
    <row r="178" spans="1:2" ht="12.75">
      <c r="A178" s="7"/>
      <c r="B178" s="7"/>
    </row>
    <row r="179" spans="1:2" ht="12.75">
      <c r="A179" s="7"/>
      <c r="B179" s="7"/>
    </row>
    <row r="180" spans="1:2" ht="12.75">
      <c r="A180" s="7"/>
      <c r="B180" s="7"/>
    </row>
    <row r="181" spans="1:2" ht="12.75">
      <c r="A181" s="7"/>
      <c r="B181" s="7"/>
    </row>
    <row r="182" spans="1:2" ht="12.75">
      <c r="A182" s="7"/>
      <c r="B182" s="7"/>
    </row>
    <row r="183" spans="1:2" ht="12.75">
      <c r="A183" s="7"/>
      <c r="B183" s="7"/>
    </row>
    <row r="184" spans="1:2" ht="12.75">
      <c r="A184" s="7"/>
      <c r="B184" s="7"/>
    </row>
    <row r="185" spans="1:2" ht="12.75">
      <c r="A185" s="7"/>
      <c r="B185" s="7"/>
    </row>
    <row r="186" spans="1:2" ht="12.75">
      <c r="A186" s="7"/>
      <c r="B186" s="7"/>
    </row>
    <row r="187" spans="1:2" ht="12.75">
      <c r="A187" s="7"/>
      <c r="B187" s="7"/>
    </row>
    <row r="188" spans="1:2" ht="12.75">
      <c r="A188" s="7"/>
      <c r="B188" s="7"/>
    </row>
    <row r="189" spans="1:2" ht="12.75">
      <c r="A189" s="7"/>
      <c r="B189" s="7"/>
    </row>
    <row r="190" spans="1:2" ht="12.75">
      <c r="A190" s="7"/>
      <c r="B190" s="7"/>
    </row>
    <row r="191" spans="1:2" ht="12.75">
      <c r="A191" s="7"/>
      <c r="B191" s="7"/>
    </row>
    <row r="192" spans="1:2" ht="12.75">
      <c r="A192" s="7"/>
      <c r="B192" s="7"/>
    </row>
    <row r="193" spans="1:2" ht="12.75">
      <c r="A193" s="7"/>
      <c r="B193" s="7"/>
    </row>
    <row r="194" spans="1:2" ht="12.75">
      <c r="A194" s="7"/>
      <c r="B194" s="7"/>
    </row>
    <row r="195" spans="1:2" ht="12.75">
      <c r="A195" s="7"/>
      <c r="B195" s="7"/>
    </row>
    <row r="196" spans="1:2" ht="12.75">
      <c r="A196" s="7"/>
      <c r="B196" s="7"/>
    </row>
    <row r="197" spans="1:2" ht="12.75">
      <c r="A197" s="7"/>
      <c r="B197" s="7"/>
    </row>
    <row r="198" spans="1:2" ht="12.75">
      <c r="A198" s="7"/>
      <c r="B198" s="7"/>
    </row>
    <row r="199" spans="1:2" ht="12.75">
      <c r="A199" s="7"/>
      <c r="B199" s="7"/>
    </row>
    <row r="200" spans="1:2" ht="12.75">
      <c r="A200" s="7"/>
      <c r="B200" s="7"/>
    </row>
    <row r="201" spans="1:2" ht="12.75">
      <c r="A201" s="7"/>
      <c r="B201" s="7"/>
    </row>
    <row r="202" spans="1:2" ht="12.75">
      <c r="A202" s="7"/>
      <c r="B202" s="7"/>
    </row>
    <row r="203" spans="1:2" ht="12.75">
      <c r="A203" s="7"/>
      <c r="B203" s="7"/>
    </row>
    <row r="204" spans="1:2" ht="12.75">
      <c r="A204" s="7"/>
      <c r="B204" s="7"/>
    </row>
    <row r="205" spans="1:2" ht="12.75">
      <c r="A205" s="7"/>
      <c r="B205" s="7"/>
    </row>
    <row r="206" spans="1:2" ht="12.75">
      <c r="A206" s="7"/>
      <c r="B206" s="7"/>
    </row>
    <row r="207" spans="1:2" ht="12.75">
      <c r="A207" s="7"/>
      <c r="B207" s="7"/>
    </row>
    <row r="208" spans="1:2" ht="12.75">
      <c r="A208" s="7"/>
      <c r="B208" s="7"/>
    </row>
    <row r="209" spans="1:2" ht="12.75">
      <c r="A209" s="7"/>
      <c r="B209" s="7"/>
    </row>
    <row r="210" spans="1:2" ht="12.75">
      <c r="A210" s="7"/>
      <c r="B210" s="7"/>
    </row>
    <row r="211" spans="1:2" ht="12.75">
      <c r="A211" s="7"/>
      <c r="B211" s="7"/>
    </row>
    <row r="212" spans="1:2" ht="12.75">
      <c r="A212" s="7"/>
      <c r="B212" s="7"/>
    </row>
    <row r="213" spans="1:2" ht="12.75">
      <c r="A213" s="7"/>
      <c r="B213" s="7"/>
    </row>
    <row r="214" spans="1:2" ht="12.75">
      <c r="A214" s="7"/>
      <c r="B214" s="7"/>
    </row>
    <row r="215" spans="1:2" ht="12.75">
      <c r="A215" s="7"/>
      <c r="B215" s="7"/>
    </row>
    <row r="216" spans="1:2" ht="12.75">
      <c r="A216" s="7"/>
      <c r="B216" s="7"/>
    </row>
    <row r="217" spans="1:2" ht="12.75">
      <c r="A217" s="7"/>
      <c r="B217" s="7"/>
    </row>
    <row r="218" spans="1:2" ht="12.75">
      <c r="A218" s="7"/>
      <c r="B218" s="7"/>
    </row>
    <row r="219" spans="1:2" ht="12.75">
      <c r="A219" s="7"/>
      <c r="B219" s="7"/>
    </row>
    <row r="220" spans="1:2" ht="12.75">
      <c r="A220" s="7"/>
      <c r="B220" s="7"/>
    </row>
    <row r="221" spans="1:2" ht="12.75">
      <c r="A221" s="7"/>
      <c r="B221" s="7"/>
    </row>
    <row r="222" spans="1:2" ht="12.75">
      <c r="A222" s="7"/>
      <c r="B222" s="7"/>
    </row>
    <row r="223" spans="1:2" ht="12.75">
      <c r="A223" s="7"/>
      <c r="B223" s="7"/>
    </row>
    <row r="224" spans="1:2" ht="12.75">
      <c r="A224" s="7"/>
      <c r="B224" s="7"/>
    </row>
    <row r="225" spans="1:2" ht="12.75">
      <c r="A225" s="7"/>
      <c r="B225" s="7"/>
    </row>
    <row r="226" spans="1:2" ht="12.75">
      <c r="A226" s="7"/>
      <c r="B226" s="7"/>
    </row>
    <row r="227" spans="1:2" ht="12.75">
      <c r="A227" s="7"/>
      <c r="B227" s="7"/>
    </row>
    <row r="228" spans="1:2" ht="12.75">
      <c r="A228" s="7"/>
      <c r="B228" s="7"/>
    </row>
    <row r="229" spans="1:2" ht="12.75">
      <c r="A229" s="7"/>
      <c r="B229" s="7"/>
    </row>
    <row r="230" spans="1:2" ht="12.75">
      <c r="A230" s="7"/>
      <c r="B230" s="7"/>
    </row>
    <row r="231" spans="1:2" ht="12.75">
      <c r="A231" s="7"/>
      <c r="B231" s="7"/>
    </row>
    <row r="232" spans="1:2" ht="12.75">
      <c r="A232" s="7"/>
      <c r="B232" s="7"/>
    </row>
    <row r="233" spans="1:2" ht="12.75">
      <c r="A233" s="7"/>
      <c r="B233" s="7"/>
    </row>
    <row r="234" spans="1:2" ht="12.75">
      <c r="A234" s="7"/>
      <c r="B234" s="7"/>
    </row>
    <row r="235" spans="1:2" ht="12.75">
      <c r="A235" s="7"/>
      <c r="B235" s="7"/>
    </row>
    <row r="236" spans="1:2" ht="12.75">
      <c r="A236" s="7"/>
      <c r="B236" s="7"/>
    </row>
    <row r="237" spans="1:2" ht="12.75">
      <c r="A237" s="7"/>
      <c r="B237" s="7"/>
    </row>
    <row r="238" spans="1:2" ht="12.75">
      <c r="A238" s="7"/>
      <c r="B238" s="7"/>
    </row>
    <row r="239" spans="1:2" ht="12.75">
      <c r="A239" s="7"/>
      <c r="B239" s="7"/>
    </row>
  </sheetData>
  <printOptions/>
  <pageMargins left="0.75" right="0.75" top="1" bottom="1" header="0.5" footer="0.5"/>
  <pageSetup fitToHeight="1" fitToWidth="1" horizontalDpi="300" verticalDpi="300" orientation="portrait" paperSize="9" scale="3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31:R38"/>
  <sheetViews>
    <sheetView tabSelected="1" workbookViewId="0" topLeftCell="A1">
      <selection activeCell="H41" sqref="H41"/>
    </sheetView>
  </sheetViews>
  <sheetFormatPr defaultColWidth="9.140625" defaultRowHeight="12.75"/>
  <sheetData>
    <row r="31" spans="4:17" ht="12.75">
      <c r="D31" s="159" t="s">
        <v>134</v>
      </c>
      <c r="E31" s="159" t="s">
        <v>133</v>
      </c>
      <c r="F31" s="159" t="s">
        <v>126</v>
      </c>
      <c r="M31" s="159" t="s">
        <v>134</v>
      </c>
      <c r="N31" s="159"/>
      <c r="O31" s="159" t="s">
        <v>135</v>
      </c>
      <c r="Q31" s="159" t="s">
        <v>126</v>
      </c>
    </row>
    <row r="32" spans="3:17" ht="12.75">
      <c r="C32" s="159" t="s">
        <v>127</v>
      </c>
      <c r="D32" s="2">
        <f>MAX('1999 Triumph Sprint ST'!B62:B69)</f>
        <v>81.38181818181818</v>
      </c>
      <c r="E32" s="2">
        <f>MAX('1999 Triumph Sprint ST - BRG'!B62:B69)</f>
        <v>83.25359999999999</v>
      </c>
      <c r="F32" s="160">
        <f>E32/D32-1</f>
        <v>0.02299999999999991</v>
      </c>
      <c r="L32" s="159" t="s">
        <v>128</v>
      </c>
      <c r="M32" s="161">
        <f>'1999 Triumph Sprint ST'!G4</f>
        <v>3.0576052902219346</v>
      </c>
      <c r="O32" s="161">
        <f>'1999 Triumph Sprint ST - BRG'!G4</f>
        <v>3.0646483365131987</v>
      </c>
      <c r="Q32" s="160">
        <f>1-O32/M32</f>
        <v>-0.0023034517613464978</v>
      </c>
    </row>
    <row r="33" spans="3:17" ht="12.75">
      <c r="C33" s="159" t="s">
        <v>129</v>
      </c>
      <c r="D33" s="2">
        <f>MAX('1999 Triumph Sprint ST'!C62:C69)</f>
        <v>95.64789150603505</v>
      </c>
      <c r="E33" s="2">
        <f>MAX('1999 Triumph Sprint ST - BRG'!C62:C69)</f>
        <v>102.5823636402226</v>
      </c>
      <c r="F33" s="160">
        <f>E33/D33-1</f>
        <v>0.07250000000000001</v>
      </c>
      <c r="L33" s="159" t="s">
        <v>130</v>
      </c>
      <c r="M33" s="161">
        <f>'1999 Triumph Sprint ST'!G5</f>
        <v>7.533712203559901</v>
      </c>
      <c r="O33" s="161">
        <f>'1999 Triumph Sprint ST - BRG'!G5</f>
        <v>7.624100534016305</v>
      </c>
      <c r="Q33" s="160">
        <f>1-O33/M33</f>
        <v>-0.011997847543697482</v>
      </c>
    </row>
    <row r="34" spans="12:18" ht="12.75">
      <c r="L34" s="159" t="s">
        <v>131</v>
      </c>
      <c r="M34" s="161">
        <f>'1999 Triumph Sprint ST'!G6</f>
        <v>11.504876414368535</v>
      </c>
      <c r="N34" s="161">
        <f>'1999 Triumph Sprint ST'!I6</f>
        <v>120.08034976699045</v>
      </c>
      <c r="O34" s="161">
        <f>'1999 Triumph Sprint ST - BRG'!G6</f>
        <v>11.527268926566453</v>
      </c>
      <c r="P34" s="161">
        <f>'1999 Triumph Sprint ST - BRG'!I6</f>
        <v>119.39779910552754</v>
      </c>
      <c r="Q34" s="160">
        <f>1-O34/M34</f>
        <v>-0.0019463496513487666</v>
      </c>
      <c r="R34" s="160">
        <f>P34/N34-1</f>
        <v>-0.005684116200422196</v>
      </c>
    </row>
    <row r="35" ht="12.75">
      <c r="L35" s="159"/>
    </row>
    <row r="36" spans="12:17" ht="12.75">
      <c r="L36" s="159" t="s">
        <v>132</v>
      </c>
      <c r="M36" s="161">
        <f>'1999 Triumph Sprint ST'!L6</f>
        <v>1.993846153846154</v>
      </c>
      <c r="O36" s="161">
        <f>'1999 Triumph Sprint ST - BRG'!L6</f>
        <v>2.0903225806451617</v>
      </c>
      <c r="Q36" s="162">
        <f>-(1-O36/M36)</f>
        <v>0.04838709677419373</v>
      </c>
    </row>
    <row r="38" ht="12.75">
      <c r="O38" t="s">
        <v>136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Headway Consultancy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Tynan</dc:creator>
  <cp:keywords/>
  <dc:description/>
  <cp:lastModifiedBy>Keith Tynan</cp:lastModifiedBy>
  <cp:lastPrinted>2001-01-17T11:55:37Z</cp:lastPrinted>
  <dcterms:created xsi:type="dcterms:W3CDTF">1999-11-20T08:46:20Z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