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21" windowWidth="5340" windowHeight="6585" tabRatio="689" activeTab="0"/>
  </bookViews>
  <sheets>
    <sheet name="1999 Ducati ST4" sheetId="1" r:id="rId1"/>
  </sheets>
  <definedNames>
    <definedName name="A" localSheetId="0">'1999 Ducati ST4'!$B$18</definedName>
    <definedName name="A">#REF!</definedName>
    <definedName name="a_ref1" localSheetId="0">'1999 Ducati ST4'!$E$4</definedName>
    <definedName name="a_ref1">#REF!</definedName>
    <definedName name="a_ref2" localSheetId="0">'1999 Ducati ST4'!$E$5</definedName>
    <definedName name="a_ref2">#REF!</definedName>
    <definedName name="Cd" localSheetId="0">'1999 Ducati ST4'!$B$17</definedName>
    <definedName name="Cd">#REF!</definedName>
    <definedName name="cPower1" localSheetId="0">'1999 Ducati ST4'!$B$5</definedName>
    <definedName name="cPower1">#REF!</definedName>
    <definedName name="cPower10" localSheetId="0">'1999 Ducati ST4'!$B$14</definedName>
    <definedName name="cPower10">#REF!</definedName>
    <definedName name="cPower11" localSheetId="0">'1999 Ducati ST4'!$B$15</definedName>
    <definedName name="cPower11">#REF!</definedName>
    <definedName name="cPower2" localSheetId="0">'1999 Ducati ST4'!$B$6</definedName>
    <definedName name="cPower2">#REF!</definedName>
    <definedName name="cPower3" localSheetId="0">'1999 Ducati ST4'!$B$7</definedName>
    <definedName name="cPower3">#REF!</definedName>
    <definedName name="cPower4" localSheetId="0">'1999 Ducati ST4'!$B$8</definedName>
    <definedName name="cPower4">#REF!</definedName>
    <definedName name="cPower5" localSheetId="0">'1999 Ducati ST4'!$B$9</definedName>
    <definedName name="cPower5">#REF!</definedName>
    <definedName name="cPower6" localSheetId="0">'1999 Ducati ST4'!$B$10</definedName>
    <definedName name="cPower6">#REF!</definedName>
    <definedName name="cPower7" localSheetId="0">'1999 Ducati ST4'!$B$11</definedName>
    <definedName name="cPower7">#REF!</definedName>
    <definedName name="cPower8" localSheetId="0">'1999 Ducati ST4'!$B$12</definedName>
    <definedName name="cPower8">#REF!</definedName>
    <definedName name="cPower9" localSheetId="0">'1999 Ducati ST4'!$B$13</definedName>
    <definedName name="cPower9">#REF!</definedName>
    <definedName name="cPowerRpmMax" localSheetId="0">'1999 Ducati ST4'!$B$16</definedName>
    <definedName name="cPowerRpmMax">#REF!</definedName>
    <definedName name="Crown_1" localSheetId="0">'1999 Ducati ST4'!$B$31</definedName>
    <definedName name="Crown_1">#REF!</definedName>
    <definedName name="Crown_2" localSheetId="0">'1999 Ducati ST4'!$B$32</definedName>
    <definedName name="Crown_2">#REF!</definedName>
    <definedName name="Crown_3" localSheetId="0">'1999 Ducati ST4'!$B$33</definedName>
    <definedName name="Crown_3">#REF!</definedName>
    <definedName name="Crown_4" localSheetId="0">'1999 Ducati ST4'!$B$34</definedName>
    <definedName name="Crown_4">#REF!</definedName>
    <definedName name="Crown_5" localSheetId="0">'1999 Ducati ST4'!$B$35</definedName>
    <definedName name="Crown_5">#REF!</definedName>
    <definedName name="Crown_6" localSheetId="0">'1999 Ducati ST4'!$B$36</definedName>
    <definedName name="Crown_6">#REF!</definedName>
    <definedName name="Crown_f" localSheetId="0">'1999 Ducati ST4'!$B$37</definedName>
    <definedName name="Crown_f">#REF!</definedName>
    <definedName name="Crown_p" localSheetId="0">'1999 Ducati ST4'!$B$30</definedName>
    <definedName name="Crown_p">#REF!</definedName>
    <definedName name="efficiency" localSheetId="0">'1999 Ducati ST4'!$B$44</definedName>
    <definedName name="efficiency">#REF!</definedName>
    <definedName name="Gearchange" localSheetId="0">'1999 Ducati ST4'!$B$19</definedName>
    <definedName name="Gearchange">#REF!</definedName>
    <definedName name="Gearing_rpm" localSheetId="0">'1999 Ducati ST4'!$D$25</definedName>
    <definedName name="Gearing_rpm">#REF!</definedName>
    <definedName name="Gearing_v" localSheetId="0">'1999 Ducati ST4'!$B$25</definedName>
    <definedName name="Gearing_v">#REF!</definedName>
    <definedName name="incline" localSheetId="0">'1999 Ducati ST4'!$B$47</definedName>
    <definedName name="incline">#REF!</definedName>
    <definedName name="krpm0" localSheetId="0">'1999 Ducati ST4'!$A$57</definedName>
    <definedName name="krpm0">#REF!</definedName>
    <definedName name="krpm1" localSheetId="0">'1999 Ducati ST4'!$A$58</definedName>
    <definedName name="krpm1">#REF!</definedName>
    <definedName name="krpm10" localSheetId="0">'1999 Ducati ST4'!$A$67</definedName>
    <definedName name="krpm10">#REF!</definedName>
    <definedName name="krpm11" localSheetId="0">'1999 Ducati ST4'!$A$68</definedName>
    <definedName name="krpm11">#REF!</definedName>
    <definedName name="krpm2" localSheetId="0">'1999 Ducati ST4'!$A$59</definedName>
    <definedName name="krpm2">#REF!</definedName>
    <definedName name="krpm3" localSheetId="0">'1999 Ducati ST4'!$A$60</definedName>
    <definedName name="krpm3">#REF!</definedName>
    <definedName name="krpm4" localSheetId="0">'1999 Ducati ST4'!$A$61</definedName>
    <definedName name="krpm4">#REF!</definedName>
    <definedName name="krpm5" localSheetId="0">'1999 Ducati ST4'!$A$62</definedName>
    <definedName name="krpm5">#REF!</definedName>
    <definedName name="krpm6" localSheetId="0">'1999 Ducati ST4'!$A$63</definedName>
    <definedName name="krpm6">#REF!</definedName>
    <definedName name="krpm7" localSheetId="0">'1999 Ducati ST4'!$A$64</definedName>
    <definedName name="krpm7">#REF!</definedName>
    <definedName name="krpm8" localSheetId="0">'1999 Ducati ST4'!$A$65</definedName>
    <definedName name="krpm8">#REF!</definedName>
    <definedName name="krpm9" localSheetId="0">'1999 Ducati ST4'!$A$66</definedName>
    <definedName name="krpm9">#REF!</definedName>
    <definedName name="krpmMax" localSheetId="0">'1999 Ducati ST4'!$A$69</definedName>
    <definedName name="krpmMax">#REF!</definedName>
    <definedName name="Loss_crank_gearbox" localSheetId="0">'1999 Ducati ST4'!$B$20</definedName>
    <definedName name="Loss_crank_gearbox">#REF!</definedName>
    <definedName name="Loss_gearbox_wheel" localSheetId="0">'1999 Ducati ST4'!$B$21</definedName>
    <definedName name="Loss_gearbox_wheel">#REF!</definedName>
    <definedName name="Loss_wheel_road" localSheetId="0">'1999 Ducati ST4'!$B$22</definedName>
    <definedName name="Loss_wheel_road">#REF!</definedName>
    <definedName name="M_accessories" localSheetId="0">'1999 Ducati ST4'!$B$23</definedName>
    <definedName name="M_accessories">#REF!</definedName>
    <definedName name="M_bike" localSheetId="0">'1999 Ducati ST4'!$B$38</definedName>
    <definedName name="M_bike">#REF!</definedName>
    <definedName name="M_rider" localSheetId="0">'1999 Ducati ST4'!$B$24</definedName>
    <definedName name="M_rider">#REF!</definedName>
    <definedName name="M_tot" localSheetId="0">'1999 Ducati ST4'!$B$43</definedName>
    <definedName name="M_tot">#REF!</definedName>
    <definedName name="Pinion_1" localSheetId="0">'1999 Ducati ST4'!$C$31</definedName>
    <definedName name="Pinion_1">#REF!</definedName>
    <definedName name="Pinion_2" localSheetId="0">'1999 Ducati ST4'!$C$32</definedName>
    <definedName name="Pinion_2">#REF!</definedName>
    <definedName name="Pinion_3" localSheetId="0">'1999 Ducati ST4'!$C$33</definedName>
    <definedName name="Pinion_3">#REF!</definedName>
    <definedName name="Pinion_4" localSheetId="0">'1999 Ducati ST4'!$C$34</definedName>
    <definedName name="Pinion_4">#REF!</definedName>
    <definedName name="Pinion_5" localSheetId="0">'1999 Ducati ST4'!$C$35</definedName>
    <definedName name="Pinion_5">#REF!</definedName>
    <definedName name="Pinion_6" localSheetId="0">'1999 Ducati ST4'!$C$36</definedName>
    <definedName name="Pinion_6">#REF!</definedName>
    <definedName name="Pinion_f" localSheetId="0">'1999 Ducati ST4'!$C$37</definedName>
    <definedName name="Pinion_f">#REF!</definedName>
    <definedName name="Pinion_p" localSheetId="0">'1999 Ducati ST4'!$C$30</definedName>
    <definedName name="Pinion_p">#REF!</definedName>
    <definedName name="Power1" localSheetId="0">'1999 Ducati ST4'!$B$58</definedName>
    <definedName name="Power1">#REF!</definedName>
    <definedName name="Power10" localSheetId="0">'1999 Ducati ST4'!$B$67</definedName>
    <definedName name="Power10">#REF!</definedName>
    <definedName name="Power11" localSheetId="0">'1999 Ducati ST4'!$B$68</definedName>
    <definedName name="Power11">#REF!</definedName>
    <definedName name="Power2" localSheetId="0">'1999 Ducati ST4'!$B$59</definedName>
    <definedName name="Power2">#REF!</definedName>
    <definedName name="Power3" localSheetId="0">'1999 Ducati ST4'!$B$60</definedName>
    <definedName name="Power3">#REF!</definedName>
    <definedName name="Power4" localSheetId="0">'1999 Ducati ST4'!$B$61</definedName>
    <definedName name="Power4">#REF!</definedName>
    <definedName name="Power5" localSheetId="0">'1999 Ducati ST4'!$B$62</definedName>
    <definedName name="Power5">#REF!</definedName>
    <definedName name="Power6" localSheetId="0">'1999 Ducati ST4'!$B$63</definedName>
    <definedName name="Power6">#REF!</definedName>
    <definedName name="Power7" localSheetId="0">'1999 Ducati ST4'!$B$64</definedName>
    <definedName name="Power7">#REF!</definedName>
    <definedName name="Power8" localSheetId="0">'1999 Ducati ST4'!$B$65</definedName>
    <definedName name="Power8">#REF!</definedName>
    <definedName name="Power9" localSheetId="0">'1999 Ducati ST4'!$B$66</definedName>
    <definedName name="Power9">#REF!</definedName>
    <definedName name="PowerRpmMax" localSheetId="0">'1999 Ducati ST4'!$B$69</definedName>
    <definedName name="PowerRpmMax">#REF!</definedName>
    <definedName name="r_wheel" localSheetId="0">'1999 Ducati ST4'!$B$45</definedName>
    <definedName name="r_wheel">#REF!</definedName>
    <definedName name="Ratio1" localSheetId="0">'1999 Ducati ST4'!$D$31</definedName>
    <definedName name="Ratio1">#REF!</definedName>
    <definedName name="Ratio2" localSheetId="0">'1999 Ducati ST4'!$D$32</definedName>
    <definedName name="Ratio2">#REF!</definedName>
    <definedName name="Ratio3" localSheetId="0">'1999 Ducati ST4'!$D$33</definedName>
    <definedName name="Ratio3">#REF!</definedName>
    <definedName name="Ratio4" localSheetId="0">'1999 Ducati ST4'!$D$34</definedName>
    <definedName name="Ratio4">#REF!</definedName>
    <definedName name="Ratio5" localSheetId="0">'1999 Ducati ST4'!$D$35</definedName>
    <definedName name="Ratio5">#REF!</definedName>
    <definedName name="Ratio6" localSheetId="0">'1999 Ducati ST4'!$D$36</definedName>
    <definedName name="Ratio6">#REF!</definedName>
    <definedName name="rpm1" localSheetId="0">'1999 Ducati ST4'!$C$5</definedName>
    <definedName name="rpm1">#REF!</definedName>
    <definedName name="rpm10" localSheetId="0">'1999 Ducati ST4'!$C$14</definedName>
    <definedName name="rpm10">#REF!</definedName>
    <definedName name="rpm11" localSheetId="0">'1999 Ducati ST4'!$C$15</definedName>
    <definedName name="rpm11">#REF!</definedName>
    <definedName name="rpm2" localSheetId="0">'1999 Ducati ST4'!$C$6</definedName>
    <definedName name="rpm2">#REF!</definedName>
    <definedName name="rpm3" localSheetId="0">'1999 Ducati ST4'!$C$7</definedName>
    <definedName name="rpm3">#REF!</definedName>
    <definedName name="rpm4" localSheetId="0">'1999 Ducati ST4'!$C$8</definedName>
    <definedName name="rpm4">#REF!</definedName>
    <definedName name="rpm5" localSheetId="0">'1999 Ducati ST4'!$C$9</definedName>
    <definedName name="rpm5">#REF!</definedName>
    <definedName name="rpm6" localSheetId="0">'1999 Ducati ST4'!$C$10</definedName>
    <definedName name="rpm6">#REF!</definedName>
    <definedName name="rpm7" localSheetId="0">'1999 Ducati ST4'!$C$11</definedName>
    <definedName name="rpm7">#REF!</definedName>
    <definedName name="rpm8" localSheetId="0">'1999 Ducati ST4'!$C$12</definedName>
    <definedName name="rpm8">#REF!</definedName>
    <definedName name="rpm9" localSheetId="0">'1999 Ducati ST4'!$C$13</definedName>
    <definedName name="rpm9">#REF!</definedName>
    <definedName name="rpmMax" localSheetId="0">'1999 Ducati ST4'!$C$16</definedName>
    <definedName name="rpmMax">#REF!</definedName>
    <definedName name="Torque1" localSheetId="0">'1999 Ducati ST4'!$C$58</definedName>
    <definedName name="Torque1">#REF!</definedName>
    <definedName name="Torque10" localSheetId="0">'1999 Ducati ST4'!$C$67</definedName>
    <definedName name="Torque10">#REF!</definedName>
    <definedName name="Torque11" localSheetId="0">'1999 Ducati ST4'!$C$68</definedName>
    <definedName name="Torque11">#REF!</definedName>
    <definedName name="Torque2" localSheetId="0">'1999 Ducati ST4'!$C$59</definedName>
    <definedName name="Torque2">#REF!</definedName>
    <definedName name="Torque3" localSheetId="0">'1999 Ducati ST4'!$C$60</definedName>
    <definedName name="Torque3">#REF!</definedName>
    <definedName name="Torque4" localSheetId="0">'1999 Ducati ST4'!$C$61</definedName>
    <definedName name="Torque4">#REF!</definedName>
    <definedName name="Torque5" localSheetId="0">'1999 Ducati ST4'!$C$62</definedName>
    <definedName name="Torque5">#REF!</definedName>
    <definedName name="Torque6" localSheetId="0">'1999 Ducati ST4'!$C$63</definedName>
    <definedName name="Torque6">#REF!</definedName>
    <definedName name="Torque7" localSheetId="0">'1999 Ducati ST4'!$C$64</definedName>
    <definedName name="Torque7">#REF!</definedName>
    <definedName name="Torque8" localSheetId="0">'1999 Ducati ST4'!$C$65</definedName>
    <definedName name="Torque8">#REF!</definedName>
    <definedName name="Torque9" localSheetId="0">'1999 Ducati ST4'!$C$66</definedName>
    <definedName name="Torque9">#REF!</definedName>
    <definedName name="TorqueRpmMax" localSheetId="0">'1999 Ducati ST4'!$C$69</definedName>
    <definedName name="TorqueRpmMax">#REF!</definedName>
    <definedName name="V_fork" localSheetId="0">'1999 Ducati ST4'!$B$41</definedName>
    <definedName name="V_fork">#REF!</definedName>
    <definedName name="V_fuel" localSheetId="0">'1999 Ducati ST4'!$B$39</definedName>
    <definedName name="V_fuel">#REF!</definedName>
    <definedName name="V_oil" localSheetId="0">'1999 Ducati ST4'!$B$40</definedName>
    <definedName name="V_oil">#REF!</definedName>
    <definedName name="V_water" localSheetId="0">'1999 Ducati ST4'!$B$42</definedName>
    <definedName name="V_water">#REF!</definedName>
    <definedName name="Vmax_actual" localSheetId="0">'1999 Ducati ST4'!$B$26</definedName>
    <definedName name="Vmax_actual">#REF!</definedName>
    <definedName name="vmax1" localSheetId="0">'1999 Ducati ST4'!$B$52</definedName>
    <definedName name="vmax1">#REF!</definedName>
    <definedName name="vmax2" localSheetId="0">'1999 Ducati ST4'!$C$52</definedName>
    <definedName name="vmax2">#REF!</definedName>
    <definedName name="vmax3" localSheetId="0">'1999 Ducati ST4'!$D$52</definedName>
    <definedName name="vmax3">#REF!</definedName>
    <definedName name="vmax4" localSheetId="0">'1999 Ducati ST4'!$E$52</definedName>
    <definedName name="vmax4">#REF!</definedName>
    <definedName name="vmax5" localSheetId="0">'1999 Ducati ST4'!$F$52</definedName>
    <definedName name="vmax5">#REF!</definedName>
    <definedName name="vmax6" localSheetId="0">'1999 Ducati ST4'!$G$52</definedName>
    <definedName name="vmax6">#REF!</definedName>
    <definedName name="vmax6mps1">#REF!</definedName>
    <definedName name="vmax6mps3" localSheetId="0">'1999 Ducati ST4'!$B$46</definedName>
    <definedName name="vmax6mps3">#REF!</definedName>
    <definedName name="vmax6mps4">#REF!</definedName>
  </definedNames>
  <calcPr fullCalcOnLoad="1"/>
</workbook>
</file>

<file path=xl/comments1.xml><?xml version="1.0" encoding="utf-8"?>
<comments xmlns="http://schemas.openxmlformats.org/spreadsheetml/2006/main">
  <authors>
    <author>Keith Tynan</author>
  </authors>
  <commentList>
    <comment ref="K111" authorId="0">
      <text>
        <r>
          <rPr>
            <b/>
            <sz val="10"/>
            <rFont val="Tahoma"/>
            <family val="2"/>
          </rPr>
          <t>delta_s = 0.5(v_end-v_start) * delta_t</t>
        </r>
      </text>
    </comment>
    <comment ref="A2" authorId="0">
      <text>
        <r>
          <rPr>
            <b/>
            <sz val="8"/>
            <rFont val="Tahoma"/>
            <family val="0"/>
          </rPr>
          <t>Keith Tynan:</t>
        </r>
        <r>
          <rPr>
            <sz val="8"/>
            <rFont val="Tahoma"/>
            <family val="0"/>
          </rPr>
          <t xml:space="preserve">
2001/02/06 Initial issue</t>
        </r>
      </text>
    </comment>
    <comment ref="C111" authorId="0">
      <text>
        <r>
          <rPr>
            <b/>
            <sz val="8"/>
            <rFont val="Tahoma"/>
            <family val="0"/>
          </rPr>
          <t>Keith Tynan:</t>
        </r>
        <r>
          <rPr>
            <sz val="8"/>
            <rFont val="Tahoma"/>
            <family val="0"/>
          </rPr>
          <t xml:space="preserve">
Take-off uses Tmax for simplicity.
See associated read-me for details.</t>
        </r>
      </text>
    </comment>
  </commentList>
</comments>
</file>

<file path=xl/sharedStrings.xml><?xml version="1.0" encoding="utf-8"?>
<sst xmlns="http://schemas.openxmlformats.org/spreadsheetml/2006/main" count="158" uniqueCount="124">
  <si>
    <t>m/s</t>
  </si>
  <si>
    <t>km/h</t>
  </si>
  <si>
    <t>rpm</t>
  </si>
  <si>
    <t>Nm</t>
  </si>
  <si>
    <t>s</t>
  </si>
  <si>
    <t>V</t>
  </si>
  <si>
    <t>kg</t>
  </si>
  <si>
    <t>krpm</t>
  </si>
  <si>
    <t>Tc</t>
  </si>
  <si>
    <t>Crown</t>
  </si>
  <si>
    <t>Pinion</t>
  </si>
  <si>
    <t>Vmax in gears</t>
  </si>
  <si>
    <t>Gearing</t>
  </si>
  <si>
    <t>kW</t>
  </si>
  <si>
    <t>TE</t>
  </si>
  <si>
    <t>TE scale</t>
  </si>
  <si>
    <t>t</t>
  </si>
  <si>
    <t>Acceleration (theoretical)</t>
  </si>
  <si>
    <t>mph</t>
  </si>
  <si>
    <t>Specification data</t>
  </si>
  <si>
    <t>Max rpm</t>
  </si>
  <si>
    <t>Mass bike</t>
  </si>
  <si>
    <t>Mass rider</t>
  </si>
  <si>
    <t>Loss crank-gearbox</t>
  </si>
  <si>
    <t>Loss gearbox-wheel</t>
  </si>
  <si>
    <t>Gear primary</t>
  </si>
  <si>
    <t>Gear 1</t>
  </si>
  <si>
    <t>Gear 2</t>
  </si>
  <si>
    <t>Gear 3</t>
  </si>
  <si>
    <t>Gear 4</t>
  </si>
  <si>
    <t>Gear 5</t>
  </si>
  <si>
    <t>Gear 6</t>
  </si>
  <si>
    <t>Gear final</t>
  </si>
  <si>
    <t>Drag coefficient</t>
  </si>
  <si>
    <t>Volume fuel</t>
  </si>
  <si>
    <t>Volume water</t>
  </si>
  <si>
    <t>Mass accessories</t>
  </si>
  <si>
    <t>lit</t>
  </si>
  <si>
    <t>Total mass</t>
  </si>
  <si>
    <t>Wheel radius</t>
  </si>
  <si>
    <t>gear</t>
  </si>
  <si>
    <t>R gradient</t>
  </si>
  <si>
    <t>R air</t>
  </si>
  <si>
    <t>R total</t>
  </si>
  <si>
    <t>Resistance to motion [N]</t>
  </si>
  <si>
    <t>Velocity max</t>
  </si>
  <si>
    <t>Road incline</t>
  </si>
  <si>
    <t>deg</t>
  </si>
  <si>
    <t>R tot</t>
  </si>
  <si>
    <t>a</t>
  </si>
  <si>
    <t>TE road</t>
  </si>
  <si>
    <t>Quarter</t>
  </si>
  <si>
    <t>dt</t>
  </si>
  <si>
    <t>V (m/s)</t>
  </si>
  <si>
    <t>ds(m)</t>
  </si>
  <si>
    <t>s(m)</t>
  </si>
  <si>
    <t xml:space="preserve">Volume oil </t>
  </si>
  <si>
    <t>Volume fork oil</t>
  </si>
  <si>
    <t>Crank power 1</t>
  </si>
  <si>
    <t>Crank power 2</t>
  </si>
  <si>
    <t>Crank power 3</t>
  </si>
  <si>
    <t>Crank power 4</t>
  </si>
  <si>
    <t>Crank power 5</t>
  </si>
  <si>
    <t>Crank power 6</t>
  </si>
  <si>
    <t>Crank power 7</t>
  </si>
  <si>
    <t>Crank power max</t>
  </si>
  <si>
    <t>m*m</t>
  </si>
  <si>
    <t>Ratio</t>
  </si>
  <si>
    <t>s  @</t>
  </si>
  <si>
    <t>Performance</t>
  </si>
  <si>
    <t>Sectional area</t>
  </si>
  <si>
    <t>Gearchange time</t>
  </si>
  <si>
    <t>km/h @</t>
  </si>
  <si>
    <t>V (km/h)</t>
  </si>
  <si>
    <t>0-</t>
  </si>
  <si>
    <t>Crank power 8</t>
  </si>
  <si>
    <t>Actual top speed</t>
  </si>
  <si>
    <t xml:space="preserve">km/h  </t>
  </si>
  <si>
    <t>Vmax</t>
  </si>
  <si>
    <t>Measured data</t>
  </si>
  <si>
    <t>m     (0.311)</t>
  </si>
  <si>
    <t>Calculated torque (crankshaft)</t>
  </si>
  <si>
    <t>TX efficiency</t>
  </si>
  <si>
    <t>Loss wheel-road</t>
  </si>
  <si>
    <t>(4.66%)</t>
  </si>
  <si>
    <t>(4.62%)</t>
  </si>
  <si>
    <t>(8.06%)</t>
  </si>
  <si>
    <t>Net tractive effort @ road [N] - exlcudes resistances</t>
  </si>
  <si>
    <t>Crank power 9</t>
  </si>
  <si>
    <t>Crank power 10</t>
  </si>
  <si>
    <t>Crank power 11</t>
  </si>
  <si>
    <t>torque</t>
  </si>
  <si>
    <t>Total</t>
  </si>
  <si>
    <t>Elasticity index</t>
  </si>
  <si>
    <t>P road</t>
  </si>
  <si>
    <t>TE net</t>
  </si>
  <si>
    <t>Pmax on TE scale</t>
  </si>
  <si>
    <t>Mauve = enter</t>
  </si>
  <si>
    <t>Red = change up</t>
  </si>
  <si>
    <t>© 2001 Keith Tynan</t>
  </si>
  <si>
    <t>Source:</t>
  </si>
  <si>
    <t>speed/rpm</t>
  </si>
  <si>
    <t>Tmax on P scale</t>
  </si>
  <si>
    <t>Pcopy</t>
  </si>
  <si>
    <t>T copy</t>
  </si>
  <si>
    <t>Tmax</t>
  </si>
  <si>
    <t>Pm</t>
  </si>
  <si>
    <t>lit   (21 max)</t>
  </si>
  <si>
    <t>P net</t>
  </si>
  <si>
    <t>gearchange</t>
  </si>
  <si>
    <t>Bike Magazine Feb 1999 11.14s/116mph</t>
  </si>
  <si>
    <t>Bike Magazine Feb 1999 &amp; Ducati Motor SpA Datasheet</t>
  </si>
  <si>
    <t>*included in mass of bike</t>
  </si>
  <si>
    <t>Bike Feb 1999</t>
  </si>
  <si>
    <t>Graph Data</t>
  </si>
  <si>
    <t>mm</t>
  </si>
  <si>
    <t>bhp@wheel</t>
  </si>
  <si>
    <t>kw@wheel</t>
  </si>
  <si>
    <t>bhp@crank</t>
  </si>
  <si>
    <t>kw@crank</t>
  </si>
  <si>
    <t>mm@100bhp</t>
  </si>
  <si>
    <t>T955i efficiency</t>
  </si>
  <si>
    <t>Magazine measurements</t>
  </si>
  <si>
    <t>1999 Ducati ST4</t>
  </si>
</sst>
</file>

<file path=xl/styles.xml><?xml version="1.0" encoding="utf-8"?>
<styleSheet xmlns="http://schemas.openxmlformats.org/spreadsheetml/2006/main">
  <numFmts count="35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&quot;£&quot;\-#,##0"/>
    <numFmt numFmtId="165" formatCode="&quot;£&quot;#,##0;[Red]&quot;£&quot;\-#,##0"/>
    <numFmt numFmtId="166" formatCode="&quot;£&quot;#,##0.00;&quot;£&quot;\-#,##0.00"/>
    <numFmt numFmtId="167" formatCode="&quot;£&quot;#,##0.00;[Red]&quot;£&quot;\-#,##0.00"/>
    <numFmt numFmtId="168" formatCode="_ &quot;£&quot;* #,##0_ ;_ &quot;£&quot;* \-#,##0_ ;_ &quot;£&quot;* &quot;-&quot;_ ;_ @_ "/>
    <numFmt numFmtId="169" formatCode="_ * #,##0_ ;_ * \-#,##0_ ;_ * &quot;-&quot;_ ;_ @_ "/>
    <numFmt numFmtId="170" formatCode="_ &quot;£&quot;* #,##0.00_ ;_ &quot;£&quot;* \-#,##0.00_ ;_ &quot;£&quot;* &quot;-&quot;??_ ;_ @_ "/>
    <numFmt numFmtId="171" formatCode="_ * #,##0.00_ ;_ * \-#,##0.00_ ;_ * &quot;-&quot;??_ ;_ @_ "/>
    <numFmt numFmtId="172" formatCode="0.000"/>
    <numFmt numFmtId="173" formatCode="0.0000"/>
    <numFmt numFmtId="174" formatCode="0.0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0.0000000"/>
    <numFmt numFmtId="184" formatCode="0.000000"/>
    <numFmt numFmtId="185" formatCode="0.00000"/>
    <numFmt numFmtId="186" formatCode="0.00000000"/>
    <numFmt numFmtId="187" formatCode="0.000000000"/>
    <numFmt numFmtId="188" formatCode="0.0000000000"/>
    <numFmt numFmtId="189" formatCode="0.0%"/>
    <numFmt numFmtId="190" formatCode="#\ ???/???"/>
  </numFmts>
  <fonts count="21">
    <font>
      <sz val="10"/>
      <name val="Arial"/>
      <family val="0"/>
    </font>
    <font>
      <b/>
      <sz val="10"/>
      <name val="Arial"/>
      <family val="2"/>
    </font>
    <font>
      <sz val="10"/>
      <name val="MS Sans Serif"/>
      <family val="0"/>
    </font>
    <font>
      <sz val="10"/>
      <color indexed="10"/>
      <name val="Arial"/>
      <family val="2"/>
    </font>
    <font>
      <b/>
      <sz val="10"/>
      <name val="Tahoma"/>
      <family val="2"/>
    </font>
    <font>
      <b/>
      <sz val="11.75"/>
      <name val="Arial"/>
      <family val="0"/>
    </font>
    <font>
      <b/>
      <sz val="10.5"/>
      <name val="Arial"/>
      <family val="2"/>
    </font>
    <font>
      <sz val="9"/>
      <name val="Arial"/>
      <family val="0"/>
    </font>
    <font>
      <sz val="11"/>
      <name val="Arial"/>
      <family val="2"/>
    </font>
    <font>
      <b/>
      <sz val="12"/>
      <name val="Arial"/>
      <family val="0"/>
    </font>
    <font>
      <sz val="8.75"/>
      <name val="Arial"/>
      <family val="0"/>
    </font>
    <font>
      <sz val="11.25"/>
      <name val="Arial"/>
      <family val="2"/>
    </font>
    <font>
      <sz val="9.5"/>
      <name val="Arial"/>
      <family val="2"/>
    </font>
    <font>
      <sz val="8"/>
      <name val="Arial"/>
      <family val="0"/>
    </font>
    <font>
      <sz val="10.5"/>
      <name val="Arial"/>
      <family val="0"/>
    </font>
    <font>
      <b/>
      <sz val="8.5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0"/>
    </font>
    <font>
      <b/>
      <sz val="8.75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1" fontId="0" fillId="0" borderId="0" xfId="0" applyNumberFormat="1" applyAlignment="1">
      <alignment/>
    </xf>
    <xf numFmtId="174" fontId="0" fillId="0" borderId="0" xfId="0" applyNumberFormat="1" applyAlignment="1">
      <alignment/>
    </xf>
    <xf numFmtId="174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174" fontId="0" fillId="2" borderId="0" xfId="0" applyNumberForma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174" fontId="0" fillId="2" borderId="7" xfId="0" applyNumberForma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0" xfId="0" applyFill="1" applyBorder="1" applyAlignment="1">
      <alignment/>
    </xf>
    <xf numFmtId="174" fontId="0" fillId="0" borderId="0" xfId="0" applyNumberFormat="1" applyFont="1" applyFill="1" applyAlignment="1">
      <alignment/>
    </xf>
    <xf numFmtId="174" fontId="0" fillId="0" borderId="0" xfId="0" applyNumberFormat="1" applyFont="1" applyAlignment="1">
      <alignment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174" fontId="0" fillId="0" borderId="5" xfId="0" applyNumberFormat="1" applyFill="1" applyBorder="1" applyAlignment="1">
      <alignment/>
    </xf>
    <xf numFmtId="183" fontId="0" fillId="0" borderId="0" xfId="0" applyNumberFormat="1" applyFill="1" applyAlignment="1">
      <alignment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85" fontId="0" fillId="0" borderId="0" xfId="0" applyNumberFormat="1" applyFill="1" applyAlignment="1">
      <alignment/>
    </xf>
    <xf numFmtId="0" fontId="1" fillId="0" borderId="0" xfId="0" applyFont="1" applyFill="1" applyBorder="1" applyAlignment="1">
      <alignment horizontal="right"/>
    </xf>
    <xf numFmtId="174" fontId="0" fillId="0" borderId="0" xfId="0" applyNumberFormat="1" applyBorder="1" applyAlignment="1">
      <alignment/>
    </xf>
    <xf numFmtId="0" fontId="1" fillId="0" borderId="2" xfId="0" applyFont="1" applyFill="1" applyBorder="1" applyAlignment="1">
      <alignment horizontal="left"/>
    </xf>
    <xf numFmtId="0" fontId="0" fillId="2" borderId="5" xfId="0" applyFill="1" applyBorder="1" applyAlignment="1">
      <alignment/>
    </xf>
    <xf numFmtId="0" fontId="0" fillId="2" borderId="8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7" xfId="0" applyFill="1" applyBorder="1" applyAlignment="1">
      <alignment/>
    </xf>
    <xf numFmtId="174" fontId="0" fillId="0" borderId="9" xfId="0" applyNumberFormat="1" applyBorder="1" applyAlignment="1">
      <alignment/>
    </xf>
    <xf numFmtId="174" fontId="0" fillId="0" borderId="10" xfId="0" applyNumberFormat="1" applyFill="1" applyBorder="1" applyAlignment="1">
      <alignment/>
    </xf>
    <xf numFmtId="174" fontId="0" fillId="0" borderId="11" xfId="0" applyNumberForma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172" fontId="1" fillId="0" borderId="13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6" xfId="0" applyFont="1" applyFill="1" applyBorder="1" applyAlignment="1">
      <alignment/>
    </xf>
    <xf numFmtId="1" fontId="0" fillId="0" borderId="9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3" xfId="0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174" fontId="0" fillId="0" borderId="15" xfId="0" applyNumberFormat="1" applyFill="1" applyBorder="1" applyAlignment="1">
      <alignment/>
    </xf>
    <xf numFmtId="174" fontId="0" fillId="0" borderId="0" xfId="0" applyNumberFormat="1" applyFill="1" applyBorder="1" applyAlignment="1">
      <alignment/>
    </xf>
    <xf numFmtId="174" fontId="0" fillId="0" borderId="16" xfId="0" applyNumberFormat="1" applyFill="1" applyBorder="1" applyAlignment="1">
      <alignment/>
    </xf>
    <xf numFmtId="174" fontId="0" fillId="0" borderId="9" xfId="0" applyNumberFormat="1" applyFill="1" applyBorder="1" applyAlignment="1">
      <alignment/>
    </xf>
    <xf numFmtId="0" fontId="0" fillId="0" borderId="15" xfId="0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9" xfId="0" applyNumberFormat="1" applyFont="1" applyFill="1" applyBorder="1" applyAlignment="1">
      <alignment/>
    </xf>
    <xf numFmtId="1" fontId="1" fillId="0" borderId="11" xfId="0" applyNumberFormat="1" applyFont="1" applyFill="1" applyBorder="1" applyAlignment="1">
      <alignment/>
    </xf>
    <xf numFmtId="0" fontId="0" fillId="3" borderId="15" xfId="0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3" borderId="10" xfId="0" applyFill="1" applyBorder="1" applyAlignment="1">
      <alignment/>
    </xf>
    <xf numFmtId="1" fontId="0" fillId="0" borderId="16" xfId="0" applyNumberFormat="1" applyFill="1" applyBorder="1" applyAlignment="1">
      <alignment/>
    </xf>
    <xf numFmtId="1" fontId="0" fillId="0" borderId="15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3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174" fontId="0" fillId="3" borderId="0" xfId="0" applyNumberForma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3" fillId="0" borderId="15" xfId="0" applyNumberFormat="1" applyFont="1" applyFill="1" applyBorder="1" applyAlignment="1">
      <alignment/>
    </xf>
    <xf numFmtId="174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1" fontId="0" fillId="4" borderId="15" xfId="0" applyNumberFormat="1" applyFont="1" applyFill="1" applyBorder="1" applyAlignment="1">
      <alignment/>
    </xf>
    <xf numFmtId="174" fontId="0" fillId="4" borderId="0" xfId="0" applyNumberFormat="1" applyFont="1" applyFill="1" applyBorder="1" applyAlignment="1">
      <alignment/>
    </xf>
    <xf numFmtId="1" fontId="0" fillId="4" borderId="0" xfId="0" applyNumberFormat="1" applyFont="1" applyFill="1" applyBorder="1" applyAlignment="1">
      <alignment/>
    </xf>
    <xf numFmtId="2" fontId="0" fillId="4" borderId="0" xfId="0" applyNumberFormat="1" applyFont="1" applyFill="1" applyBorder="1" applyAlignment="1">
      <alignment/>
    </xf>
    <xf numFmtId="1" fontId="0" fillId="0" borderId="16" xfId="0" applyNumberFormat="1" applyFont="1" applyFill="1" applyBorder="1" applyAlignment="1">
      <alignment/>
    </xf>
    <xf numFmtId="174" fontId="0" fillId="0" borderId="9" xfId="0" applyNumberFormat="1" applyFont="1" applyFill="1" applyBorder="1" applyAlignment="1">
      <alignment/>
    </xf>
    <xf numFmtId="2" fontId="0" fillId="0" borderId="9" xfId="0" applyNumberFormat="1" applyFont="1" applyFill="1" applyBorder="1" applyAlignment="1">
      <alignment/>
    </xf>
    <xf numFmtId="0" fontId="1" fillId="0" borderId="15" xfId="0" applyFont="1" applyBorder="1" applyAlignment="1">
      <alignment horizontal="right"/>
    </xf>
    <xf numFmtId="0" fontId="1" fillId="0" borderId="16" xfId="0" applyFont="1" applyFill="1" applyBorder="1" applyAlignment="1">
      <alignment/>
    </xf>
    <xf numFmtId="1" fontId="3" fillId="0" borderId="9" xfId="0" applyNumberFormat="1" applyFont="1" applyFill="1" applyBorder="1" applyAlignment="1">
      <alignment/>
    </xf>
    <xf numFmtId="0" fontId="0" fillId="0" borderId="9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174" fontId="0" fillId="0" borderId="15" xfId="0" applyNumberFormat="1" applyFont="1" applyBorder="1" applyAlignment="1">
      <alignment/>
    </xf>
    <xf numFmtId="174" fontId="0" fillId="0" borderId="10" xfId="0" applyNumberFormat="1" applyFont="1" applyBorder="1" applyAlignment="1">
      <alignment/>
    </xf>
    <xf numFmtId="174" fontId="0" fillId="0" borderId="16" xfId="0" applyNumberFormat="1" applyFont="1" applyBorder="1" applyAlignment="1">
      <alignment/>
    </xf>
    <xf numFmtId="174" fontId="0" fillId="0" borderId="11" xfId="0" applyNumberFormat="1" applyFont="1" applyBorder="1" applyAlignment="1">
      <alignment/>
    </xf>
    <xf numFmtId="0" fontId="0" fillId="0" borderId="2" xfId="0" applyFill="1" applyBorder="1" applyAlignment="1">
      <alignment/>
    </xf>
    <xf numFmtId="0" fontId="0" fillId="2" borderId="0" xfId="0" applyFill="1" applyBorder="1" applyAlignment="1">
      <alignment/>
    </xf>
    <xf numFmtId="189" fontId="0" fillId="0" borderId="0" xfId="39" applyNumberFormat="1" applyFill="1" applyBorder="1" applyAlignment="1">
      <alignment/>
    </xf>
    <xf numFmtId="172" fontId="0" fillId="0" borderId="0" xfId="0" applyNumberFormat="1" applyFill="1" applyBorder="1" applyAlignment="1">
      <alignment/>
    </xf>
    <xf numFmtId="1" fontId="0" fillId="2" borderId="7" xfId="0" applyNumberFormat="1" applyFill="1" applyBorder="1" applyAlignment="1">
      <alignment/>
    </xf>
    <xf numFmtId="2" fontId="0" fillId="2" borderId="3" xfId="0" applyNumberFormat="1" applyFill="1" applyBorder="1" applyAlignment="1">
      <alignment/>
    </xf>
    <xf numFmtId="2" fontId="0" fillId="2" borderId="0" xfId="0" applyNumberFormat="1" applyFill="1" applyBorder="1" applyAlignment="1">
      <alignment/>
    </xf>
    <xf numFmtId="10" fontId="0" fillId="2" borderId="0" xfId="39" applyNumberFormat="1" applyFill="1" applyBorder="1" applyAlignment="1">
      <alignment/>
    </xf>
    <xf numFmtId="49" fontId="0" fillId="0" borderId="0" xfId="39" applyNumberFormat="1" applyFont="1" applyFill="1" applyBorder="1" applyAlignment="1">
      <alignment horizontal="right"/>
    </xf>
    <xf numFmtId="0" fontId="0" fillId="2" borderId="7" xfId="0" applyFill="1" applyBorder="1" applyAlignment="1">
      <alignment/>
    </xf>
    <xf numFmtId="0" fontId="0" fillId="0" borderId="7" xfId="0" applyFill="1" applyBorder="1" applyAlignment="1">
      <alignment/>
    </xf>
    <xf numFmtId="1" fontId="0" fillId="0" borderId="7" xfId="0" applyNumberFormat="1" applyFill="1" applyBorder="1" applyAlignment="1">
      <alignment/>
    </xf>
    <xf numFmtId="0" fontId="0" fillId="0" borderId="12" xfId="0" applyFill="1" applyBorder="1" applyAlignment="1">
      <alignment/>
    </xf>
    <xf numFmtId="2" fontId="0" fillId="5" borderId="0" xfId="0" applyNumberFormat="1" applyFill="1" applyBorder="1" applyAlignment="1">
      <alignment/>
    </xf>
    <xf numFmtId="2" fontId="0" fillId="6" borderId="10" xfId="0" applyNumberFormat="1" applyFill="1" applyBorder="1" applyAlignment="1">
      <alignment/>
    </xf>
    <xf numFmtId="2" fontId="0" fillId="5" borderId="0" xfId="0" applyNumberFormat="1" applyFont="1" applyFill="1" applyBorder="1" applyAlignment="1">
      <alignment/>
    </xf>
    <xf numFmtId="1" fontId="0" fillId="5" borderId="0" xfId="0" applyNumberFormat="1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0" fillId="0" borderId="13" xfId="0" applyBorder="1" applyAlignment="1">
      <alignment/>
    </xf>
    <xf numFmtId="10" fontId="0" fillId="2" borderId="0" xfId="39" applyNumberFormat="1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74" fontId="0" fillId="3" borderId="0" xfId="0" applyNumberFormat="1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1" fontId="3" fillId="4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6" fontId="3" fillId="0" borderId="10" xfId="0" applyNumberFormat="1" applyFont="1" applyFill="1" applyBorder="1" applyAlignment="1">
      <alignment/>
    </xf>
    <xf numFmtId="0" fontId="20" fillId="0" borderId="10" xfId="0" applyFont="1" applyFill="1" applyBorder="1" applyAlignment="1">
      <alignment/>
    </xf>
    <xf numFmtId="1" fontId="0" fillId="0" borderId="13" xfId="0" applyNumberFormat="1" applyBorder="1" applyAlignment="1">
      <alignment/>
    </xf>
    <xf numFmtId="174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0" xfId="0" applyNumberFormat="1" applyBorder="1" applyAlignment="1">
      <alignment/>
    </xf>
    <xf numFmtId="174" fontId="0" fillId="0" borderId="10" xfId="0" applyNumberFormat="1" applyBorder="1" applyAlignment="1">
      <alignment/>
    </xf>
    <xf numFmtId="1" fontId="0" fillId="0" borderId="15" xfId="0" applyNumberFormat="1" applyFill="1" applyBorder="1" applyAlignment="1">
      <alignment/>
    </xf>
    <xf numFmtId="189" fontId="0" fillId="0" borderId="9" xfId="39" applyNumberFormat="1" applyFill="1" applyBorder="1" applyAlignment="1">
      <alignment/>
    </xf>
    <xf numFmtId="1" fontId="1" fillId="0" borderId="12" xfId="0" applyNumberFormat="1" applyFont="1" applyBorder="1" applyAlignment="1">
      <alignment/>
    </xf>
    <xf numFmtId="1" fontId="1" fillId="0" borderId="13" xfId="0" applyNumberFormat="1" applyFont="1" applyBorder="1" applyAlignment="1">
      <alignment/>
    </xf>
    <xf numFmtId="2" fontId="1" fillId="6" borderId="10" xfId="0" applyNumberFormat="1" applyFont="1" applyFill="1" applyBorder="1" applyAlignment="1">
      <alignment/>
    </xf>
  </cellXfs>
  <cellStyles count="26">
    <cellStyle name="Normal" xfId="0"/>
    <cellStyle name="Comma" xfId="15"/>
    <cellStyle name="Comma [0]" xfId="16"/>
    <cellStyle name="Comma [0]_Dynamics" xfId="17"/>
    <cellStyle name="Comma [0]_T300.XLS Chart 1" xfId="18"/>
    <cellStyle name="Comma [0]_T300.XLS Chart 2" xfId="19"/>
    <cellStyle name="Comma [0]_T300.XLS Chart 3" xfId="20"/>
    <cellStyle name="Comma_Dynamics" xfId="21"/>
    <cellStyle name="Comma_T300.XLS Chart 1" xfId="22"/>
    <cellStyle name="Comma_T300.XLS Chart 2" xfId="23"/>
    <cellStyle name="Comma_T300.XLS Chart 3" xfId="24"/>
    <cellStyle name="Currency" xfId="25"/>
    <cellStyle name="Currency [0]" xfId="26"/>
    <cellStyle name="Currency [0]_Dynamics" xfId="27"/>
    <cellStyle name="Currency [0]_T300.XLS Chart 1" xfId="28"/>
    <cellStyle name="Currency [0]_T300.XLS Chart 2" xfId="29"/>
    <cellStyle name="Currency [0]_T300.XLS Chart 3" xfId="30"/>
    <cellStyle name="Currency_Dynamics" xfId="31"/>
    <cellStyle name="Currency_T300.XLS Chart 1" xfId="32"/>
    <cellStyle name="Currency_T300.XLS Chart 2" xfId="33"/>
    <cellStyle name="Currency_T300.XLS Chart 3" xfId="34"/>
    <cellStyle name="Normal_Dynamics" xfId="35"/>
    <cellStyle name="Normal_T300.XLS Chart 1" xfId="36"/>
    <cellStyle name="Normal_T300.XLS Chart 2" xfId="37"/>
    <cellStyle name="Normal_T300.XLS Chart 3" xfId="38"/>
    <cellStyle name="Percent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1) Power (crank) &amp; Torque (crank)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P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Ducati ST4'!$A$62:$A$69</c:f>
              <c:numCache/>
            </c:numRef>
          </c:xVal>
          <c:yVal>
            <c:numRef>
              <c:f>'1999 Ducati ST4'!$B$62:$B$69</c:f>
              <c:numCache/>
            </c:numRef>
          </c:yVal>
          <c:smooth val="1"/>
        </c:ser>
        <c:ser>
          <c:idx val="1"/>
          <c:order val="1"/>
          <c:tx>
            <c:v>T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Ducati ST4'!$A$62:$A$69</c:f>
              <c:numCache/>
            </c:numRef>
          </c:xVal>
          <c:yVal>
            <c:numRef>
              <c:f>'1999 Ducati ST4'!$C$62:$C$69</c:f>
              <c:numCache/>
            </c:numRef>
          </c:yVal>
          <c:smooth val="1"/>
        </c:ser>
        <c:axId val="59974360"/>
        <c:axId val="2898329"/>
      </c:scatterChart>
      <c:valAx>
        <c:axId val="59974360"/>
        <c:scaling>
          <c:orientation val="minMax"/>
          <c:max val="1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rpm * 1000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898329"/>
        <c:crosses val="autoZero"/>
        <c:crossBetween val="midCat"/>
        <c:dispUnits/>
        <c:majorUnit val="1"/>
      </c:valAx>
      <c:valAx>
        <c:axId val="289832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Power (kW) or Torque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9974360"/>
        <c:crosses val="autoZero"/>
        <c:crossBetween val="midCat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4) Gear ratios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Ducati ST4'!$A$51:$A$52</c:f>
              <c:numCache/>
            </c:numRef>
          </c:xVal>
          <c:yVal>
            <c:numRef>
              <c:f>'1999 Ducati ST4'!$B$51:$B$52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Ducati ST4'!$A$51:$A$52</c:f>
              <c:numCache/>
            </c:numRef>
          </c:xVal>
          <c:yVal>
            <c:numRef>
              <c:f>'1999 Ducati ST4'!$C$51:$C$52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Ducati ST4'!$A$51:$A$52</c:f>
              <c:numCache/>
            </c:numRef>
          </c:xVal>
          <c:yVal>
            <c:numRef>
              <c:f>'1999 Ducati ST4'!$D$51:$D$52</c:f>
              <c:numCache/>
            </c:numRef>
          </c:yVal>
          <c:smooth val="1"/>
        </c:ser>
        <c:ser>
          <c:idx val="3"/>
          <c:order val="3"/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Ducati ST4'!$A$51:$A$52</c:f>
              <c:numCache/>
            </c:numRef>
          </c:xVal>
          <c:yVal>
            <c:numRef>
              <c:f>'1999 Ducati ST4'!$E$51:$E$52</c:f>
              <c:numCache/>
            </c:numRef>
          </c:yVal>
          <c:smooth val="1"/>
        </c:ser>
        <c:ser>
          <c:idx val="4"/>
          <c:order val="4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Ducati ST4'!$A$51:$A$52</c:f>
              <c:numCache/>
            </c:numRef>
          </c:xVal>
          <c:yVal>
            <c:numRef>
              <c:f>'1999 Ducati ST4'!$F$51:$F$52</c:f>
              <c:numCache/>
            </c:numRef>
          </c:yVal>
          <c:smooth val="1"/>
        </c:ser>
        <c:ser>
          <c:idx val="5"/>
          <c:order val="5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Ducati ST4'!$A$51:$A$52</c:f>
              <c:numCache/>
            </c:numRef>
          </c:xVal>
          <c:yVal>
            <c:numRef>
              <c:f>'1999 Ducati ST4'!$G$51:$G$52</c:f>
              <c:numCache/>
            </c:numRef>
          </c:yVal>
          <c:smooth val="1"/>
        </c:ser>
        <c:axId val="26084962"/>
        <c:axId val="33438067"/>
      </c:scatterChart>
      <c:valAx>
        <c:axId val="26084962"/>
        <c:scaling>
          <c:orientation val="minMax"/>
          <c:max val="1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rpm * 1000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33438067"/>
        <c:crosses val="autoZero"/>
        <c:crossBetween val="midCat"/>
        <c:dispUnits/>
        <c:majorUnit val="1"/>
      </c:valAx>
      <c:valAx>
        <c:axId val="33438067"/>
        <c:scaling>
          <c:orientation val="minMax"/>
          <c:max val="3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V (km/h)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26084962"/>
        <c:crosses val="autoZero"/>
        <c:crossBetween val="midCat"/>
        <c:dispUnits/>
        <c:majorUnit val="5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3) Tractive Effort Cadence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#1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Ducati ST4'!$B$75:$B$87</c:f>
              <c:numCache/>
            </c:numRef>
          </c:xVal>
          <c:yVal>
            <c:numRef>
              <c:f>'1999 Ducati ST4'!$C$75:$C$87</c:f>
              <c:numCache/>
            </c:numRef>
          </c:yVal>
          <c:smooth val="1"/>
        </c:ser>
        <c:ser>
          <c:idx val="1"/>
          <c:order val="1"/>
          <c:tx>
            <c:v>#2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Ducati ST4'!$D$76:$D$87</c:f>
              <c:numCache/>
            </c:numRef>
          </c:xVal>
          <c:yVal>
            <c:numRef>
              <c:f>'1999 Ducati ST4'!$E$76:$E$87</c:f>
              <c:numCache/>
            </c:numRef>
          </c:yVal>
          <c:smooth val="1"/>
        </c:ser>
        <c:ser>
          <c:idx val="2"/>
          <c:order val="2"/>
          <c:tx>
            <c:v>#3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Ducati ST4'!$F$76:$F$87</c:f>
              <c:numCache/>
            </c:numRef>
          </c:xVal>
          <c:yVal>
            <c:numRef>
              <c:f>'1999 Ducati ST4'!$G$76:$G$87</c:f>
              <c:numCache/>
            </c:numRef>
          </c:yVal>
          <c:smooth val="1"/>
        </c:ser>
        <c:ser>
          <c:idx val="3"/>
          <c:order val="3"/>
          <c:tx>
            <c:v>#4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Ducati ST4'!$H$76:$H$87</c:f>
              <c:numCache/>
            </c:numRef>
          </c:xVal>
          <c:yVal>
            <c:numRef>
              <c:f>'1999 Ducati ST4'!$I$76:$I$87</c:f>
              <c:numCache/>
            </c:numRef>
          </c:yVal>
          <c:smooth val="1"/>
        </c:ser>
        <c:ser>
          <c:idx val="4"/>
          <c:order val="4"/>
          <c:tx>
            <c:v>#5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Ducati ST4'!$J$75:$J$87</c:f>
              <c:numCache/>
            </c:numRef>
          </c:xVal>
          <c:yVal>
            <c:numRef>
              <c:f>'1999 Ducati ST4'!$K$75:$K$87</c:f>
              <c:numCache/>
            </c:numRef>
          </c:yVal>
          <c:smooth val="1"/>
        </c:ser>
        <c:ser>
          <c:idx val="5"/>
          <c:order val="5"/>
          <c:tx>
            <c:v>#6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Ducati ST4'!$L$76:$L$87</c:f>
              <c:numCache/>
            </c:numRef>
          </c:xVal>
          <c:yVal>
            <c:numRef>
              <c:f>'1999 Ducati ST4'!$M$76:$M$87</c:f>
              <c:numCache/>
            </c:numRef>
          </c:yVal>
          <c:smooth val="1"/>
        </c:ser>
        <c:ser>
          <c:idx val="6"/>
          <c:order val="6"/>
          <c:tx>
            <c:v>R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Ducati ST4'!$A$91:$A$103</c:f>
              <c:numCache/>
            </c:numRef>
          </c:xVal>
          <c:yVal>
            <c:numRef>
              <c:f>'1999 Ducati ST4'!$D$91:$D$103</c:f>
              <c:numCache/>
            </c:numRef>
          </c:yVal>
          <c:smooth val="1"/>
        </c:ser>
        <c:ser>
          <c:idx val="7"/>
          <c:order val="7"/>
          <c:tx>
            <c:v>Vmax</c:v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Ducati ST4'!$B$107:$B$108</c:f>
              <c:numCache/>
            </c:numRef>
          </c:xVal>
          <c:yVal>
            <c:numRef>
              <c:f>'1999 Ducati ST4'!$A$107:$A$108</c:f>
              <c:numCache/>
            </c:numRef>
          </c:yVal>
          <c:smooth val="1"/>
        </c:ser>
        <c:ser>
          <c:idx val="8"/>
          <c:order val="8"/>
          <c:tx>
            <c:v>Pmax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Ducati ST4'!$A$94:$A$103</c:f>
              <c:numCache/>
            </c:numRef>
          </c:xVal>
          <c:yVal>
            <c:numRef>
              <c:f>'1999 Ducati ST4'!$F$94:$F$103</c:f>
              <c:numCache/>
            </c:numRef>
          </c:yVal>
          <c:smooth val="1"/>
        </c:ser>
        <c:axId val="32507148"/>
        <c:axId val="24128877"/>
      </c:scatterChart>
      <c:valAx>
        <c:axId val="32507148"/>
        <c:scaling>
          <c:orientation val="minMax"/>
          <c:max val="3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V [km/h]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128877"/>
        <c:crosses val="autoZero"/>
        <c:crossBetween val="midCat"/>
        <c:dispUnits/>
      </c:valAx>
      <c:valAx>
        <c:axId val="24128877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TE [N]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507148"/>
        <c:crosses val="autoZero"/>
        <c:crossBetween val="midCat"/>
        <c:dispUnits/>
        <c:majorUnit val="2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6) Acceleration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1"/>
          <c:order val="0"/>
          <c:tx>
            <c:v>Theoretical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Ducati ST4'!$I$112:$I$129</c:f>
              <c:numCache/>
            </c:numRef>
          </c:xVal>
          <c:yVal>
            <c:numRef>
              <c:f>'1999 Ducati ST4'!$A$112:$A$129</c:f>
              <c:numCache/>
            </c:numRef>
          </c:yVal>
          <c:smooth val="1"/>
        </c:ser>
        <c:axId val="15833302"/>
        <c:axId val="8281991"/>
      </c:scatterChart>
      <c:valAx>
        <c:axId val="158333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8281991"/>
        <c:crosses val="autoZero"/>
        <c:crossBetween val="midCat"/>
        <c:dispUnits/>
      </c:valAx>
      <c:valAx>
        <c:axId val="8281991"/>
        <c:scaling>
          <c:orientation val="minMax"/>
          <c:max val="2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V [km/h]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5833302"/>
        <c:crosses val="autoZero"/>
        <c:crossBetween val="midCat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5) Net Tractive Effort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TE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7"/>
            <c:spPr>
              <a:ln w="25400">
                <a:solidFill>
                  <a:srgbClr val="00FF00"/>
                </a:solidFill>
              </a:ln>
            </c:spPr>
            <c:marker>
              <c:symbol val="none"/>
            </c:marker>
          </c:dPt>
          <c:xVal>
            <c:numRef>
              <c:f>'1999 Ducati ST4'!$A$112:$A$138</c:f>
              <c:numCache/>
            </c:numRef>
          </c:xVal>
          <c:yVal>
            <c:numRef>
              <c:f>'1999 Ducati ST4'!$F$112:$F$138</c:f>
              <c:numCache/>
            </c:numRef>
          </c:yVal>
          <c:smooth val="1"/>
        </c:ser>
        <c:axId val="7429056"/>
        <c:axId val="66861505"/>
      </c:scatterChart>
      <c:valAx>
        <c:axId val="7429056"/>
        <c:scaling>
          <c:orientation val="minMax"/>
          <c:max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 [km/h]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66861505"/>
        <c:crosses val="autoZero"/>
        <c:crossBetween val="midCat"/>
        <c:dispUnits/>
      </c:valAx>
      <c:valAx>
        <c:axId val="66861505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 [N]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74290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2) Power (crank) Cadence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#1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66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'1999 Ducati ST4'!$D$61:$D$69</c:f>
              <c:numCache/>
            </c:numRef>
          </c:xVal>
          <c:yVal>
            <c:numRef>
              <c:f>'1999 Ducati ST4'!$B$61:$B$69</c:f>
              <c:numCache/>
            </c:numRef>
          </c:yVal>
          <c:smooth val="1"/>
        </c:ser>
        <c:ser>
          <c:idx val="1"/>
          <c:order val="1"/>
          <c:tx>
            <c:v>#2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'1999 Ducati ST4'!$E$61:$E$69</c:f>
              <c:numCache/>
            </c:numRef>
          </c:xVal>
          <c:yVal>
            <c:numRef>
              <c:f>'1999 Ducati ST4'!$B$61:$B$69</c:f>
              <c:numCache/>
            </c:numRef>
          </c:yVal>
          <c:smooth val="1"/>
        </c:ser>
        <c:ser>
          <c:idx val="2"/>
          <c:order val="2"/>
          <c:tx>
            <c:v>#3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'1999 Ducati ST4'!$F$61:$F$69</c:f>
              <c:numCache/>
            </c:numRef>
          </c:xVal>
          <c:yVal>
            <c:numRef>
              <c:f>'1999 Ducati ST4'!$B$61:$B$69</c:f>
              <c:numCache/>
            </c:numRef>
          </c:yVal>
          <c:smooth val="1"/>
        </c:ser>
        <c:ser>
          <c:idx val="3"/>
          <c:order val="3"/>
          <c:tx>
            <c:v>#4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'1999 Ducati ST4'!$G$61:$G$69</c:f>
              <c:numCache/>
            </c:numRef>
          </c:xVal>
          <c:yVal>
            <c:numRef>
              <c:f>'1999 Ducati ST4'!$B$61:$B$69</c:f>
              <c:numCache/>
            </c:numRef>
          </c:yVal>
          <c:smooth val="1"/>
        </c:ser>
        <c:ser>
          <c:idx val="8"/>
          <c:order val="4"/>
          <c:tx>
            <c:v>#5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'1999 Ducati ST4'!$H$61:$H$69</c:f>
              <c:numCache/>
            </c:numRef>
          </c:xVal>
          <c:yVal>
            <c:numRef>
              <c:f>'1999 Ducati ST4'!$B$61:$B$69</c:f>
              <c:numCache/>
            </c:numRef>
          </c:yVal>
          <c:smooth val="1"/>
        </c:ser>
        <c:ser>
          <c:idx val="4"/>
          <c:order val="5"/>
          <c:tx>
            <c:v>#6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'1999 Ducati ST4'!$I$61:$I$69</c:f>
              <c:numCache/>
            </c:numRef>
          </c:xVal>
          <c:yVal>
            <c:numRef>
              <c:f>'1999 Ducati ST4'!$B$61:$B$69</c:f>
              <c:numCache/>
            </c:numRef>
          </c:yVal>
          <c:smooth val="1"/>
        </c:ser>
        <c:ser>
          <c:idx val="5"/>
          <c:order val="6"/>
          <c:tx>
            <c:v>Vmax</c:v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Ducati ST4'!$B$107:$B$108</c:f>
              <c:numCache/>
            </c:numRef>
          </c:xVal>
          <c:yVal>
            <c:numRef>
              <c:f>'1999 Ducati ST4'!$C$107:$C$108</c:f>
              <c:numCache/>
            </c:numRef>
          </c:yVal>
          <c:smooth val="1"/>
        </c:ser>
        <c:ser>
          <c:idx val="6"/>
          <c:order val="7"/>
          <c:tx>
            <c:v>Tmax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Ducati ST4'!$A$91:$A$103</c:f>
              <c:numCache/>
            </c:numRef>
          </c:xVal>
          <c:yVal>
            <c:numRef>
              <c:f>'1999 Ducati ST4'!$K$91:$K$103</c:f>
              <c:numCache/>
            </c:numRef>
          </c:yVal>
          <c:smooth val="1"/>
        </c:ser>
        <c:axId val="64882634"/>
        <c:axId val="47072795"/>
      </c:scatterChart>
      <c:valAx>
        <c:axId val="64882634"/>
        <c:scaling>
          <c:orientation val="minMax"/>
          <c:max val="3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V [km/h]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7072795"/>
        <c:crosses val="autoZero"/>
        <c:crossBetween val="midCat"/>
        <c:dispUnits/>
        <c:majorUnit val="50"/>
      </c:valAx>
      <c:valAx>
        <c:axId val="4707279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Crank power [kW]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4882634"/>
        <c:crosses val="autoZero"/>
        <c:crossBetween val="midCat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9</xdr:row>
      <xdr:rowOff>28575</xdr:rowOff>
    </xdr:from>
    <xdr:to>
      <xdr:col>18</xdr:col>
      <xdr:colOff>409575</xdr:colOff>
      <xdr:row>38</xdr:row>
      <xdr:rowOff>142875</xdr:rowOff>
    </xdr:to>
    <xdr:graphicFrame>
      <xdr:nvGraphicFramePr>
        <xdr:cNvPr id="1" name="Chart 1"/>
        <xdr:cNvGraphicFramePr/>
      </xdr:nvGraphicFramePr>
      <xdr:xfrm>
        <a:off x="6696075" y="1495425"/>
        <a:ext cx="51625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9525</xdr:colOff>
      <xdr:row>40</xdr:row>
      <xdr:rowOff>9525</xdr:rowOff>
    </xdr:from>
    <xdr:to>
      <xdr:col>18</xdr:col>
      <xdr:colOff>333375</xdr:colOff>
      <xdr:row>70</xdr:row>
      <xdr:rowOff>142875</xdr:rowOff>
    </xdr:to>
    <xdr:graphicFrame>
      <xdr:nvGraphicFramePr>
        <xdr:cNvPr id="2" name="Chart 2"/>
        <xdr:cNvGraphicFramePr/>
      </xdr:nvGraphicFramePr>
      <xdr:xfrm>
        <a:off x="6677025" y="6534150"/>
        <a:ext cx="5105400" cy="5000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28</xdr:col>
      <xdr:colOff>0</xdr:colOff>
      <xdr:row>9</xdr:row>
      <xdr:rowOff>28575</xdr:rowOff>
    </xdr:from>
    <xdr:to>
      <xdr:col>36</xdr:col>
      <xdr:colOff>142875</xdr:colOff>
      <xdr:row>39</xdr:row>
      <xdr:rowOff>28575</xdr:rowOff>
    </xdr:to>
    <xdr:graphicFrame>
      <xdr:nvGraphicFramePr>
        <xdr:cNvPr id="3" name="Chart 3"/>
        <xdr:cNvGraphicFramePr/>
      </xdr:nvGraphicFramePr>
      <xdr:xfrm>
        <a:off x="17573625" y="1495425"/>
        <a:ext cx="5019675" cy="4895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28</xdr:col>
      <xdr:colOff>0</xdr:colOff>
      <xdr:row>40</xdr:row>
      <xdr:rowOff>0</xdr:rowOff>
    </xdr:from>
    <xdr:to>
      <xdr:col>36</xdr:col>
      <xdr:colOff>142875</xdr:colOff>
      <xdr:row>70</xdr:row>
      <xdr:rowOff>142875</xdr:rowOff>
    </xdr:to>
    <xdr:graphicFrame>
      <xdr:nvGraphicFramePr>
        <xdr:cNvPr id="4" name="Chart 4"/>
        <xdr:cNvGraphicFramePr/>
      </xdr:nvGraphicFramePr>
      <xdr:xfrm>
        <a:off x="17573625" y="6524625"/>
        <a:ext cx="5019675" cy="5010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0</xdr:colOff>
      <xdr:row>40</xdr:row>
      <xdr:rowOff>0</xdr:rowOff>
    </xdr:from>
    <xdr:to>
      <xdr:col>27</xdr:col>
      <xdr:colOff>180975</xdr:colOff>
      <xdr:row>70</xdr:row>
      <xdr:rowOff>123825</xdr:rowOff>
    </xdr:to>
    <xdr:graphicFrame>
      <xdr:nvGraphicFramePr>
        <xdr:cNvPr id="5" name="Chart 5"/>
        <xdr:cNvGraphicFramePr/>
      </xdr:nvGraphicFramePr>
      <xdr:xfrm>
        <a:off x="12087225" y="6524625"/>
        <a:ext cx="5057775" cy="4991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0</xdr:colOff>
      <xdr:row>9</xdr:row>
      <xdr:rowOff>0</xdr:rowOff>
    </xdr:from>
    <xdr:to>
      <xdr:col>27</xdr:col>
      <xdr:colOff>142875</xdr:colOff>
      <xdr:row>38</xdr:row>
      <xdr:rowOff>142875</xdr:rowOff>
    </xdr:to>
    <xdr:graphicFrame>
      <xdr:nvGraphicFramePr>
        <xdr:cNvPr id="6" name="Chart 12"/>
        <xdr:cNvGraphicFramePr/>
      </xdr:nvGraphicFramePr>
      <xdr:xfrm>
        <a:off x="12087225" y="1466850"/>
        <a:ext cx="5019675" cy="4876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9"/>
  <sheetViews>
    <sheetView tabSelected="1" zoomScale="75" zoomScaleNormal="75" workbookViewId="0" topLeftCell="A1">
      <selection activeCell="A4" sqref="A4"/>
    </sheetView>
  </sheetViews>
  <sheetFormatPr defaultColWidth="9.140625" defaultRowHeight="12.75"/>
  <cols>
    <col min="1" max="1" width="17.421875" style="5" customWidth="1"/>
    <col min="2" max="2" width="11.57421875" style="5" bestFit="1" customWidth="1"/>
    <col min="3" max="3" width="9.28125" style="5" bestFit="1" customWidth="1"/>
    <col min="4" max="4" width="8.8515625" style="5" bestFit="1" customWidth="1"/>
    <col min="5" max="5" width="8.140625" style="5" bestFit="1" customWidth="1"/>
    <col min="6" max="6" width="7.7109375" style="5" customWidth="1"/>
    <col min="7" max="7" width="11.00390625" style="5" bestFit="1" customWidth="1"/>
    <col min="8" max="8" width="8.8515625" style="5" bestFit="1" customWidth="1"/>
    <col min="9" max="9" width="9.57421875" style="5" bestFit="1" customWidth="1"/>
    <col min="10" max="10" width="7.57421875" style="5" bestFit="1" customWidth="1"/>
    <col min="11" max="11" width="7.7109375" style="5" customWidth="1"/>
    <col min="12" max="12" width="8.57421875" style="5" bestFit="1" customWidth="1"/>
    <col min="13" max="13" width="9.28125" style="5" bestFit="1" customWidth="1"/>
    <col min="14" max="14" width="9.57421875" style="5" bestFit="1" customWidth="1"/>
    <col min="15" max="18" width="9.140625" style="5" customWidth="1"/>
    <col min="19" max="19" width="9.57421875" style="5" bestFit="1" customWidth="1"/>
    <col min="20" max="16384" width="9.140625" style="5" customWidth="1"/>
  </cols>
  <sheetData>
    <row r="1" spans="1:5" ht="12.75">
      <c r="A1" s="4" t="s">
        <v>123</v>
      </c>
      <c r="D1" s="4" t="s">
        <v>100</v>
      </c>
      <c r="E1" s="5" t="s">
        <v>111</v>
      </c>
    </row>
    <row r="2" ht="12.75">
      <c r="A2" s="12" t="s">
        <v>99</v>
      </c>
    </row>
    <row r="3" spans="1:13" ht="13.5" thickBot="1">
      <c r="A3" s="4" t="s">
        <v>79</v>
      </c>
      <c r="D3" s="127"/>
      <c r="E3" s="59" t="s">
        <v>69</v>
      </c>
      <c r="F3" s="58"/>
      <c r="G3" s="58"/>
      <c r="H3" s="58"/>
      <c r="I3" s="58"/>
      <c r="J3" s="58"/>
      <c r="K3" s="59" t="s">
        <v>93</v>
      </c>
      <c r="L3" s="64"/>
      <c r="M3" s="60"/>
    </row>
    <row r="4" spans="1:13" ht="12.75">
      <c r="A4" s="38"/>
      <c r="B4" s="34" t="s">
        <v>13</v>
      </c>
      <c r="C4" s="33" t="s">
        <v>2</v>
      </c>
      <c r="D4" s="36" t="s">
        <v>74</v>
      </c>
      <c r="E4" s="61">
        <v>60</v>
      </c>
      <c r="F4" s="24" t="s">
        <v>18</v>
      </c>
      <c r="G4" s="128">
        <f>(a_ref1*1.609-INDEX($A$112:$I$138,MATCH(a_ref1*1.609,$A$112:$A$138,1),1))/(INDEX($A$112:$I$138,MATCH(a_ref1*1.609,$A$112:$A$138,1)+1,1)-INDEX($A$112:$I$138,MATCH(a_ref1*1.609,$A$112:$A$138,1),1))*(INDEX($A$112:$I$138,MATCH(a_ref1*1.609,$A$112:$A$138,1)+1,9)-INDEX($A$112:$I$138,MATCH(a_ref1*1.609,$A$112:$A$138,1),9))+INDEX($A$112:$I$138,MATCH(a_ref1*1.609,$A$112:$A$138,1),9)</f>
        <v>3.5622362289535663</v>
      </c>
      <c r="H4" s="61" t="s">
        <v>4</v>
      </c>
      <c r="I4" s="24"/>
      <c r="J4" s="24"/>
      <c r="K4" s="24" t="s">
        <v>2</v>
      </c>
      <c r="L4" s="129">
        <f>krpm11/krpm9</f>
        <v>1.25</v>
      </c>
      <c r="M4" s="72"/>
    </row>
    <row r="5" spans="1:13" ht="12.75">
      <c r="A5" s="16" t="s">
        <v>58</v>
      </c>
      <c r="B5" s="17"/>
      <c r="C5" s="39"/>
      <c r="D5" s="36" t="s">
        <v>74</v>
      </c>
      <c r="E5" s="61">
        <v>100</v>
      </c>
      <c r="F5" s="24" t="s">
        <v>18</v>
      </c>
      <c r="G5" s="128">
        <f>(a_ref2*1.609-INDEX($A$112:$I$138,MATCH(a_ref2*1.609,$A$112:$A$138,1),1))/(INDEX($A$112:$I$138,MATCH(a_ref2*1.609,$A$112:$A$138,1)+1,1)-INDEX($A$112:$I$138,MATCH(a_ref2*1.609,$A$112:$A$138,1),1))*(INDEX($A$112:$I$138,MATCH(a_ref2*1.609,$A$112:$A$138,1)+1,9)-INDEX($A$112:$I$138,MATCH(a_ref2*1.609,$A$112:$A$138,1),9))+INDEX($A$112:$I$138,MATCH(a_ref2*1.609,$A$112:$A$138,1),9)</f>
        <v>7.701719747577508</v>
      </c>
      <c r="H5" s="61" t="s">
        <v>4</v>
      </c>
      <c r="I5" s="24"/>
      <c r="J5" s="24"/>
      <c r="K5" s="24" t="s">
        <v>91</v>
      </c>
      <c r="L5" s="129">
        <f>Torque9/Torque11</f>
        <v>1.0855263157894735</v>
      </c>
      <c r="M5" s="72"/>
    </row>
    <row r="6" spans="1:13" ht="12.75">
      <c r="A6" s="16" t="s">
        <v>59</v>
      </c>
      <c r="B6" s="17"/>
      <c r="C6" s="39"/>
      <c r="D6" s="24"/>
      <c r="E6" s="61" t="s">
        <v>51</v>
      </c>
      <c r="F6" s="24"/>
      <c r="G6" s="130">
        <f>(402.336-INDEX($A$112:$L$138,MATCH(402.336,$L$112:$L$138,1),12))/(INDEX($A$112:$L$138,MATCH(402.336,$L$112:$L$138,1)+1,12)-INDEX($A$112:$L$138,MATCH(402.336,$L$112:$L$138,1),12))*(INDEX($A$112:$L$138,MATCH(402.336,$L$112:$L$138,1)+1,9)-INDEX($A$112:$L$138,MATCH(402.336,$L$112:$L$138,1),9))+INDEX($A$112:$L$138,MATCH(402.336,$L$112:$L$138,1),9)</f>
        <v>11.776428008620128</v>
      </c>
      <c r="H6" s="61" t="s">
        <v>68</v>
      </c>
      <c r="I6" s="131">
        <f>((402.336-INDEX($A$112:$L$138,MATCH(402.336,$L$112:$L$138,1),12))/(INDEX($A$112:$L$138,MATCH(402.336,$L$112:$L$138,1)+1,12)-INDEX($A$112:$L$138,MATCH(402.336,$L$112:$L$138,1),12))*(INDEX($A$112:$L$138,MATCH(402.336,$L$112:$L$138,1)+1,1)-INDEX($A$112:$L$138,MATCH(402.336,$L$112:$L$138,1),1))+INDEX($A$112:$L$138,MATCH(402.336,$L$112:$L$138,1),1))/1.609</f>
        <v>120.65644000545153</v>
      </c>
      <c r="J6" s="61" t="s">
        <v>18</v>
      </c>
      <c r="K6" s="61" t="s">
        <v>92</v>
      </c>
      <c r="L6" s="159">
        <f>L4*L5</f>
        <v>1.3569078947368418</v>
      </c>
      <c r="M6" s="72"/>
    </row>
    <row r="7" spans="1:19" ht="12.75">
      <c r="A7" s="16" t="s">
        <v>60</v>
      </c>
      <c r="B7" s="17"/>
      <c r="C7" s="39"/>
      <c r="D7" s="107"/>
      <c r="E7" s="8" t="s">
        <v>110</v>
      </c>
      <c r="F7" s="107"/>
      <c r="G7" s="107"/>
      <c r="H7" s="132"/>
      <c r="I7" s="107"/>
      <c r="J7" s="107"/>
      <c r="K7" s="107"/>
      <c r="L7" s="74"/>
      <c r="M7" s="74"/>
      <c r="S7" s="35"/>
    </row>
    <row r="8" spans="1:4" ht="12.75">
      <c r="A8" s="16" t="s">
        <v>61</v>
      </c>
      <c r="B8" s="17">
        <v>28.692307692307697</v>
      </c>
      <c r="C8" s="39">
        <v>3600</v>
      </c>
      <c r="D8" s="24"/>
    </row>
    <row r="9" spans="1:4" ht="12.75">
      <c r="A9" s="16" t="s">
        <v>62</v>
      </c>
      <c r="B9" s="17">
        <v>31.300699300699304</v>
      </c>
      <c r="C9" s="39">
        <v>4000</v>
      </c>
      <c r="D9" s="24"/>
    </row>
    <row r="10" spans="1:4" ht="12.75">
      <c r="A10" s="16" t="s">
        <v>63</v>
      </c>
      <c r="B10" s="17">
        <v>41.21258741258741</v>
      </c>
      <c r="C10" s="39">
        <v>5000</v>
      </c>
      <c r="D10" s="24"/>
    </row>
    <row r="11" spans="1:4" ht="12.75">
      <c r="A11" s="16" t="s">
        <v>64</v>
      </c>
      <c r="B11" s="17">
        <v>49.03776223776224</v>
      </c>
      <c r="C11" s="39">
        <v>6000</v>
      </c>
      <c r="D11" s="24"/>
    </row>
    <row r="12" spans="1:4" ht="12.75">
      <c r="A12" s="16" t="s">
        <v>75</v>
      </c>
      <c r="B12" s="17">
        <v>58.427972027972025</v>
      </c>
      <c r="C12" s="39">
        <v>7000</v>
      </c>
      <c r="D12" s="24"/>
    </row>
    <row r="13" spans="1:4" ht="12.75">
      <c r="A13" s="16" t="s">
        <v>88</v>
      </c>
      <c r="B13" s="17">
        <v>68.86153846153846</v>
      </c>
      <c r="C13" s="39">
        <v>8000</v>
      </c>
      <c r="D13" s="24"/>
    </row>
    <row r="14" spans="1:4" ht="12.75">
      <c r="A14" s="16" t="s">
        <v>89</v>
      </c>
      <c r="B14" s="17">
        <v>77.20839160839161</v>
      </c>
      <c r="C14" s="39">
        <v>9000</v>
      </c>
      <c r="D14" s="24"/>
    </row>
    <row r="15" spans="1:4" ht="12.75">
      <c r="A15" s="16" t="s">
        <v>90</v>
      </c>
      <c r="B15" s="17">
        <v>79.2951048951049</v>
      </c>
      <c r="C15" s="39">
        <v>10000</v>
      </c>
      <c r="D15" s="24"/>
    </row>
    <row r="16" spans="1:4" ht="13.5" thickBot="1">
      <c r="A16" s="19" t="s">
        <v>65</v>
      </c>
      <c r="B16" s="20">
        <v>77.20839160839161</v>
      </c>
      <c r="C16" s="40">
        <v>10900</v>
      </c>
      <c r="D16" s="24" t="s">
        <v>20</v>
      </c>
    </row>
    <row r="17" spans="1:5" ht="12.75">
      <c r="A17" s="115" t="s">
        <v>33</v>
      </c>
      <c r="B17" s="120">
        <v>0.19</v>
      </c>
      <c r="C17" s="15"/>
      <c r="D17" s="15"/>
      <c r="E17" s="13"/>
    </row>
    <row r="18" spans="1:5" ht="12.75">
      <c r="A18" s="16" t="s">
        <v>70</v>
      </c>
      <c r="B18" s="121">
        <v>1</v>
      </c>
      <c r="C18" s="24" t="s">
        <v>66</v>
      </c>
      <c r="D18" s="24"/>
      <c r="E18" s="18"/>
    </row>
    <row r="19" spans="1:5" ht="12.75">
      <c r="A19" s="16" t="s">
        <v>71</v>
      </c>
      <c r="B19" s="121">
        <v>0.2</v>
      </c>
      <c r="C19" s="24" t="s">
        <v>4</v>
      </c>
      <c r="D19" s="24"/>
      <c r="E19" s="18"/>
    </row>
    <row r="20" spans="1:5" ht="12.75">
      <c r="A20" s="16" t="s">
        <v>23</v>
      </c>
      <c r="B20" s="122">
        <v>0.0466</v>
      </c>
      <c r="C20" s="123" t="s">
        <v>84</v>
      </c>
      <c r="D20" s="24"/>
      <c r="E20" s="18"/>
    </row>
    <row r="21" spans="1:5" ht="12.75">
      <c r="A21" s="16" t="s">
        <v>24</v>
      </c>
      <c r="B21" s="134">
        <v>0.0462</v>
      </c>
      <c r="C21" s="123" t="s">
        <v>85</v>
      </c>
      <c r="D21" s="24"/>
      <c r="E21" s="18"/>
    </row>
    <row r="22" spans="1:5" ht="12.75">
      <c r="A22" s="16" t="s">
        <v>83</v>
      </c>
      <c r="B22" s="134">
        <v>0.0806</v>
      </c>
      <c r="C22" s="123" t="s">
        <v>86</v>
      </c>
      <c r="D22" s="24"/>
      <c r="E22" s="18"/>
    </row>
    <row r="23" spans="1:5" ht="12.75">
      <c r="A23" s="16" t="s">
        <v>36</v>
      </c>
      <c r="B23" s="116">
        <v>0</v>
      </c>
      <c r="C23" s="24" t="s">
        <v>6</v>
      </c>
      <c r="D23" s="24"/>
      <c r="E23" s="18"/>
    </row>
    <row r="24" spans="1:5" ht="12.75">
      <c r="A24" s="16" t="s">
        <v>22</v>
      </c>
      <c r="B24" s="116">
        <v>90</v>
      </c>
      <c r="C24" s="24" t="s">
        <v>6</v>
      </c>
      <c r="D24" s="24"/>
      <c r="E24" s="18"/>
    </row>
    <row r="25" spans="1:5" ht="12.75">
      <c r="A25" s="16" t="s">
        <v>12</v>
      </c>
      <c r="B25" s="116">
        <v>232</v>
      </c>
      <c r="C25" s="24" t="s">
        <v>72</v>
      </c>
      <c r="D25" s="116">
        <v>7500</v>
      </c>
      <c r="E25" s="18" t="s">
        <v>2</v>
      </c>
    </row>
    <row r="26" spans="1:5" ht="13.5" thickBot="1">
      <c r="A26" s="19" t="s">
        <v>76</v>
      </c>
      <c r="B26" s="124">
        <v>254.2</v>
      </c>
      <c r="C26" s="125" t="s">
        <v>77</v>
      </c>
      <c r="D26" s="126">
        <f>Vmax_actual/1.609</f>
        <v>157.9863269111249</v>
      </c>
      <c r="E26" s="21" t="s">
        <v>18</v>
      </c>
    </row>
    <row r="27" ht="12.75"/>
    <row r="28" ht="13.5" thickBot="1">
      <c r="A28" s="4" t="s">
        <v>19</v>
      </c>
    </row>
    <row r="29" spans="1:4" ht="12.75">
      <c r="A29" s="14"/>
      <c r="B29" s="15" t="s">
        <v>9</v>
      </c>
      <c r="C29" s="15" t="s">
        <v>10</v>
      </c>
      <c r="D29" s="13" t="s">
        <v>67</v>
      </c>
    </row>
    <row r="30" spans="1:4" ht="12.75">
      <c r="A30" s="22" t="s">
        <v>25</v>
      </c>
      <c r="B30" s="41">
        <v>59</v>
      </c>
      <c r="C30" s="41">
        <v>32</v>
      </c>
      <c r="D30" s="18"/>
    </row>
    <row r="31" spans="1:4" ht="12.75">
      <c r="A31" s="22" t="s">
        <v>26</v>
      </c>
      <c r="B31" s="41">
        <v>37</v>
      </c>
      <c r="C31" s="41">
        <v>15</v>
      </c>
      <c r="D31" s="31">
        <f>Crown_p/Pinion_p*Crown_1/Pinion_1*Crown_f/Pinion_f</f>
        <v>10.915</v>
      </c>
    </row>
    <row r="32" spans="1:4" ht="12.75">
      <c r="A32" s="22" t="s">
        <v>27</v>
      </c>
      <c r="B32" s="41">
        <v>30</v>
      </c>
      <c r="C32" s="41">
        <v>17</v>
      </c>
      <c r="D32" s="31">
        <f>Crown_p/Pinion_p*Crown_2/Pinion_2*Crown_f/Pinion_f</f>
        <v>7.808823529411765</v>
      </c>
    </row>
    <row r="33" spans="1:4" ht="12.75">
      <c r="A33" s="22" t="s">
        <v>28</v>
      </c>
      <c r="B33" s="41">
        <v>27</v>
      </c>
      <c r="C33" s="41">
        <v>20</v>
      </c>
      <c r="D33" s="31">
        <f>Crown_p/Pinion_p*Crown_3/Pinion_3*Crown_f/Pinion_f</f>
        <v>5.97375</v>
      </c>
    </row>
    <row r="34" spans="1:4" ht="12.75">
      <c r="A34" s="22" t="s">
        <v>29</v>
      </c>
      <c r="B34" s="41">
        <v>24</v>
      </c>
      <c r="C34" s="41">
        <v>22</v>
      </c>
      <c r="D34" s="31">
        <f>Crown_p/Pinion_p*Crown_4/Pinion_4*Crown_f/Pinion_f</f>
        <v>4.827272727272727</v>
      </c>
    </row>
    <row r="35" spans="1:4" ht="12.75">
      <c r="A35" s="22" t="s">
        <v>30</v>
      </c>
      <c r="B35" s="41">
        <v>23</v>
      </c>
      <c r="C35" s="41">
        <v>24</v>
      </c>
      <c r="D35" s="31">
        <f>Crown_p/Pinion_p*Crown_5/Pinion_5*Crown_f/Pinion_f</f>
        <v>4.240625</v>
      </c>
    </row>
    <row r="36" spans="1:4" ht="12.75">
      <c r="A36" s="22" t="s">
        <v>31</v>
      </c>
      <c r="B36" s="41">
        <v>24</v>
      </c>
      <c r="C36" s="41">
        <v>28</v>
      </c>
      <c r="D36" s="31">
        <f>Crown_p/Pinion_p*Crown_6/Pinion_6*Crown_f/Pinion_f</f>
        <v>3.7928571428571427</v>
      </c>
    </row>
    <row r="37" spans="1:4" ht="13.5" thickBot="1">
      <c r="A37" s="23" t="s">
        <v>32</v>
      </c>
      <c r="B37" s="42">
        <v>36</v>
      </c>
      <c r="C37" s="42">
        <v>15</v>
      </c>
      <c r="D37" s="21"/>
    </row>
    <row r="38" spans="1:3" ht="12.75">
      <c r="A38" s="115" t="s">
        <v>21</v>
      </c>
      <c r="B38" s="135">
        <v>215</v>
      </c>
      <c r="C38" s="136" t="s">
        <v>6</v>
      </c>
    </row>
    <row r="39" spans="1:3" ht="12.75">
      <c r="A39" s="16" t="s">
        <v>34</v>
      </c>
      <c r="B39" s="137">
        <v>10</v>
      </c>
      <c r="C39" s="138" t="s">
        <v>107</v>
      </c>
    </row>
    <row r="40" spans="1:4" ht="12.75">
      <c r="A40" s="16" t="s">
        <v>56</v>
      </c>
      <c r="B40" s="139"/>
      <c r="C40" s="138" t="s">
        <v>37</v>
      </c>
      <c r="D40" s="5" t="s">
        <v>112</v>
      </c>
    </row>
    <row r="41" spans="1:4" ht="12.75">
      <c r="A41" s="16" t="s">
        <v>57</v>
      </c>
      <c r="B41" s="139"/>
      <c r="C41" s="138" t="s">
        <v>37</v>
      </c>
      <c r="D41" s="5" t="s">
        <v>112</v>
      </c>
    </row>
    <row r="42" spans="1:4" ht="12.75">
      <c r="A42" s="16" t="s">
        <v>35</v>
      </c>
      <c r="B42" s="140"/>
      <c r="C42" s="138" t="s">
        <v>37</v>
      </c>
      <c r="D42" s="5" t="s">
        <v>112</v>
      </c>
    </row>
    <row r="43" spans="1:5" ht="12.75">
      <c r="A43" s="16" t="s">
        <v>38</v>
      </c>
      <c r="B43" s="91">
        <f>SUM(M_bike,V_fuel*0.7,(V_oil+V_fork)*0.9,V_water,M_accessories,M_rider)</f>
        <v>312</v>
      </c>
      <c r="C43" s="138" t="s">
        <v>6</v>
      </c>
      <c r="E43" s="91"/>
    </row>
    <row r="44" spans="1:3" ht="12.75">
      <c r="A44" s="16" t="s">
        <v>82</v>
      </c>
      <c r="B44" s="117">
        <f>(1-Loss_crank_gearbox)*(1-Loss_gearbox_wheel)*(1-Loss_wheel_road)</f>
        <v>0.836059074648</v>
      </c>
      <c r="C44" s="18"/>
    </row>
    <row r="45" spans="1:3" ht="12.75">
      <c r="A45" s="16" t="s">
        <v>39</v>
      </c>
      <c r="B45" s="118">
        <f>Gearing_v*1000/3600/(Gearing_rpm/Ratio6/60*2*PI())</f>
        <v>0.3112161230059805</v>
      </c>
      <c r="C45" s="18" t="s">
        <v>80</v>
      </c>
    </row>
    <row r="46" spans="1:3" ht="12.75">
      <c r="A46" s="16" t="s">
        <v>45</v>
      </c>
      <c r="B46" s="89">
        <f>vmax6*1000/3600</f>
        <v>93.65925925925927</v>
      </c>
      <c r="C46" s="18" t="s">
        <v>0</v>
      </c>
    </row>
    <row r="47" spans="1:3" ht="13.5" thickBot="1">
      <c r="A47" s="19" t="s">
        <v>46</v>
      </c>
      <c r="B47" s="119">
        <v>0</v>
      </c>
      <c r="C47" s="21" t="s">
        <v>47</v>
      </c>
    </row>
    <row r="48" spans="1:8" ht="12.75">
      <c r="A48"/>
      <c r="B48"/>
      <c r="C48"/>
      <c r="D48"/>
      <c r="E48" s="6"/>
      <c r="F48"/>
      <c r="G48"/>
      <c r="H48"/>
    </row>
    <row r="49" spans="1:8" s="4" customFormat="1" ht="12.75">
      <c r="A49" s="46" t="s">
        <v>11</v>
      </c>
      <c r="B49" s="47"/>
      <c r="C49" s="47"/>
      <c r="D49" s="47"/>
      <c r="E49" s="48"/>
      <c r="F49" s="47"/>
      <c r="G49" s="47"/>
      <c r="H49" s="49"/>
    </row>
    <row r="50" spans="1:8" s="4" customFormat="1" ht="12.75">
      <c r="A50" s="50" t="s">
        <v>7</v>
      </c>
      <c r="B50" s="51">
        <v>1</v>
      </c>
      <c r="C50" s="51">
        <v>2</v>
      </c>
      <c r="D50" s="51">
        <v>3</v>
      </c>
      <c r="E50" s="51">
        <v>4</v>
      </c>
      <c r="F50" s="51">
        <v>5</v>
      </c>
      <c r="G50" s="51">
        <v>6</v>
      </c>
      <c r="H50" s="52"/>
    </row>
    <row r="51" spans="1:14" ht="12.75">
      <c r="A51" s="53">
        <f>krpm0</f>
        <v>0</v>
      </c>
      <c r="B51" s="41">
        <v>0</v>
      </c>
      <c r="C51" s="41">
        <v>0</v>
      </c>
      <c r="D51" s="41">
        <v>0</v>
      </c>
      <c r="E51" s="41">
        <v>0</v>
      </c>
      <c r="F51" s="41">
        <v>0</v>
      </c>
      <c r="G51" s="41">
        <v>0</v>
      </c>
      <c r="H51" s="54"/>
      <c r="N51" s="32"/>
    </row>
    <row r="52" spans="1:14" ht="12.75">
      <c r="A52" s="55">
        <f>krpmMax</f>
        <v>10.9</v>
      </c>
      <c r="B52" s="56">
        <f>vmax6*Ratio6/Ratio1</f>
        <v>117.16447876447877</v>
      </c>
      <c r="C52" s="56">
        <f>vmax6*Ratio6/Ratio2</f>
        <v>163.76990476190474</v>
      </c>
      <c r="D52" s="56">
        <f>vmax6*Ratio6/Ratio3</f>
        <v>214.07830687830688</v>
      </c>
      <c r="E52" s="56">
        <f>vmax6*Ratio6/Ratio4</f>
        <v>264.9219047619048</v>
      </c>
      <c r="F52" s="56">
        <f>vmax6*Ratio6/Ratio5</f>
        <v>301.57118012422364</v>
      </c>
      <c r="G52" s="56">
        <f>rpmMax/Gearing_rpm*Gearing_v</f>
        <v>337.17333333333335</v>
      </c>
      <c r="H52" s="57" t="s">
        <v>1</v>
      </c>
      <c r="N52" s="32"/>
    </row>
    <row r="53" ht="12.75"/>
    <row r="54" spans="2:9" ht="12.75">
      <c r="B54" s="46" t="s">
        <v>81</v>
      </c>
      <c r="C54" s="108"/>
      <c r="D54" s="133"/>
      <c r="E54" s="133"/>
      <c r="F54" s="58"/>
      <c r="G54" s="58"/>
      <c r="H54" s="58"/>
      <c r="I54" s="60"/>
    </row>
    <row r="55" spans="1:10" ht="12.75">
      <c r="A55" s="10" t="s">
        <v>7</v>
      </c>
      <c r="B55" s="50" t="s">
        <v>106</v>
      </c>
      <c r="C55" s="52" t="s">
        <v>8</v>
      </c>
      <c r="D55" s="47"/>
      <c r="E55" s="58"/>
      <c r="F55" s="47" t="s">
        <v>101</v>
      </c>
      <c r="G55" s="59"/>
      <c r="H55" s="58"/>
      <c r="I55" s="60"/>
      <c r="J55" s="11"/>
    </row>
    <row r="56" spans="1:10" ht="12.75">
      <c r="A56" s="11"/>
      <c r="B56" s="109" t="s">
        <v>13</v>
      </c>
      <c r="C56" s="110" t="s">
        <v>3</v>
      </c>
      <c r="D56" s="51">
        <v>1</v>
      </c>
      <c r="E56" s="61">
        <v>2</v>
      </c>
      <c r="F56" s="51">
        <v>3</v>
      </c>
      <c r="G56" s="61">
        <v>4</v>
      </c>
      <c r="H56" s="61">
        <v>5</v>
      </c>
      <c r="I56" s="62">
        <v>6</v>
      </c>
      <c r="J56" s="11"/>
    </row>
    <row r="57" spans="1:10" ht="12.75">
      <c r="A57" s="11">
        <v>0</v>
      </c>
      <c r="B57" s="111"/>
      <c r="C57" s="112"/>
      <c r="D57" s="37">
        <v>0</v>
      </c>
      <c r="E57" s="37">
        <v>0</v>
      </c>
      <c r="F57" s="37">
        <v>0</v>
      </c>
      <c r="G57" s="37">
        <v>0</v>
      </c>
      <c r="H57" s="37">
        <v>0</v>
      </c>
      <c r="I57" s="44">
        <v>0</v>
      </c>
      <c r="J57" s="25"/>
    </row>
    <row r="58" spans="1:10" ht="12.75">
      <c r="A58" s="11">
        <f>rpm1/1000</f>
        <v>0</v>
      </c>
      <c r="B58" s="111">
        <f>cPower1</f>
        <v>0</v>
      </c>
      <c r="C58" s="112" t="e">
        <f>Power1/(krpm1*1000/60*2*PI())*1000</f>
        <v>#DIV/0!</v>
      </c>
      <c r="D58" s="37">
        <f>krpm1/krpmMax*vmax1</f>
        <v>0</v>
      </c>
      <c r="E58" s="37">
        <f>krpm1/krpmMax*vmax2</f>
        <v>0</v>
      </c>
      <c r="F58" s="37">
        <f>krpm1/krpmMax*vmax3</f>
        <v>0</v>
      </c>
      <c r="G58" s="37">
        <f>krpm1/krpmMax*vmax4</f>
        <v>0</v>
      </c>
      <c r="H58" s="37">
        <f>krpm1/krpmMax*vmax5</f>
        <v>0</v>
      </c>
      <c r="I58" s="44">
        <f>krpm1/krpmMax*vmax6</f>
        <v>0</v>
      </c>
      <c r="J58" s="25"/>
    </row>
    <row r="59" spans="1:10" ht="12.75">
      <c r="A59" s="11">
        <f>rpm2/1000</f>
        <v>0</v>
      </c>
      <c r="B59" s="111">
        <f>cPower2</f>
        <v>0</v>
      </c>
      <c r="C59" s="112" t="e">
        <f>Power2/(krpm2*1000/60*2*PI())*1000</f>
        <v>#DIV/0!</v>
      </c>
      <c r="D59" s="37">
        <f>krpm2/krpmMax*vmax1</f>
        <v>0</v>
      </c>
      <c r="E59" s="37">
        <f>krpm2/krpmMax*vmax2</f>
        <v>0</v>
      </c>
      <c r="F59" s="37">
        <f>krpm2/krpmMax*vmax3</f>
        <v>0</v>
      </c>
      <c r="G59" s="37">
        <f>krpm2/krpmMax*vmax4</f>
        <v>0</v>
      </c>
      <c r="H59" s="37">
        <f>krpm2/krpmMax*vmax5</f>
        <v>0</v>
      </c>
      <c r="I59" s="44">
        <f>krpm2/krpmMax*vmax6</f>
        <v>0</v>
      </c>
      <c r="J59" s="25"/>
    </row>
    <row r="60" spans="1:10" ht="12.75">
      <c r="A60" s="11">
        <f>rpm3/1000</f>
        <v>0</v>
      </c>
      <c r="B60" s="111">
        <f>cPower3</f>
        <v>0</v>
      </c>
      <c r="C60" s="112" t="e">
        <f>Power3/(krpm3*1000/60*2*PI())*1000</f>
        <v>#DIV/0!</v>
      </c>
      <c r="D60" s="37">
        <f>krpm3/krpmMax*vmax1</f>
        <v>0</v>
      </c>
      <c r="E60" s="37">
        <f>krpm3/krpmMax*vmax2</f>
        <v>0</v>
      </c>
      <c r="F60" s="37">
        <f>krpm3/krpmMax*vmax3</f>
        <v>0</v>
      </c>
      <c r="G60" s="37">
        <f>krpm3/krpmMax*vmax4</f>
        <v>0</v>
      </c>
      <c r="H60" s="37">
        <f>krpm3/krpmMax*vmax5</f>
        <v>0</v>
      </c>
      <c r="I60" s="44">
        <f>krpm3/krpmMax*vmax6</f>
        <v>0</v>
      </c>
      <c r="J60" s="25"/>
    </row>
    <row r="61" spans="1:10" ht="12.75">
      <c r="A61" s="11">
        <f>rpm4/1000</f>
        <v>3.6</v>
      </c>
      <c r="B61" s="111">
        <f>cPower4</f>
        <v>28.692307692307697</v>
      </c>
      <c r="C61" s="112">
        <f>Power4/(krpm4*1000/60*2*PI())*1000</f>
        <v>76.1087099657397</v>
      </c>
      <c r="D61" s="37">
        <f>krpm4/krpmMax*vmax1</f>
        <v>38.6965250965251</v>
      </c>
      <c r="E61" s="37">
        <f>krpm4/krpmMax*vmax2</f>
        <v>54.08914285714285</v>
      </c>
      <c r="F61" s="37">
        <f>krpm4/krpmMax*vmax3</f>
        <v>70.70476190476191</v>
      </c>
      <c r="G61" s="37">
        <f>krpm4/krpmMax*vmax4</f>
        <v>87.49714285714288</v>
      </c>
      <c r="H61" s="37">
        <f>krpm4/krpmMax*vmax5</f>
        <v>99.60149068322983</v>
      </c>
      <c r="I61" s="44">
        <f>krpm4/krpmMax*vmax6</f>
        <v>111.36000000000001</v>
      </c>
      <c r="J61" s="25"/>
    </row>
    <row r="62" spans="1:10" ht="12.75">
      <c r="A62" s="11">
        <f>rpm5/1000</f>
        <v>4</v>
      </c>
      <c r="B62" s="111">
        <f>cPower5</f>
        <v>31.300699300699304</v>
      </c>
      <c r="C62" s="112">
        <f>Power5/(krpm5*1000/60*2*PI())*1000</f>
        <v>74.7249152390899</v>
      </c>
      <c r="D62" s="37">
        <f>krpm5/krpmMax*vmax1</f>
        <v>42.996138996138995</v>
      </c>
      <c r="E62" s="37">
        <f>krpm5/krpmMax*vmax2</f>
        <v>60.0990476190476</v>
      </c>
      <c r="F62" s="37">
        <f>krpm5/krpmMax*vmax3</f>
        <v>78.56084656084656</v>
      </c>
      <c r="G62" s="37">
        <f>krpm5/krpmMax*vmax4</f>
        <v>97.21904761904761</v>
      </c>
      <c r="H62" s="37">
        <f>krpm5/krpmMax*vmax5</f>
        <v>110.66832298136646</v>
      </c>
      <c r="I62" s="44">
        <f>krpm5/krpmMax*vmax6</f>
        <v>123.73333333333332</v>
      </c>
      <c r="J62" s="25"/>
    </row>
    <row r="63" spans="1:10" ht="12.75">
      <c r="A63" s="11">
        <f>rpm6/1000</f>
        <v>5</v>
      </c>
      <c r="B63" s="111">
        <f>cPower6</f>
        <v>41.21258741258741</v>
      </c>
      <c r="C63" s="112">
        <f>Power6/(krpm6*1000/60*2*PI())*1000</f>
        <v>78.71024405184133</v>
      </c>
      <c r="D63" s="37">
        <f>krpm6/krpmMax*vmax1</f>
        <v>53.745173745173744</v>
      </c>
      <c r="E63" s="37">
        <f>krpm6/krpmMax*vmax2</f>
        <v>75.12380952380951</v>
      </c>
      <c r="F63" s="37">
        <f>krpm6/krpmMax*vmax3</f>
        <v>98.20105820105819</v>
      </c>
      <c r="G63" s="37">
        <f>krpm6/krpmMax*vmax4</f>
        <v>121.52380952380953</v>
      </c>
      <c r="H63" s="37">
        <f>krpm6/krpmMax*vmax5</f>
        <v>138.33540372670808</v>
      </c>
      <c r="I63" s="44">
        <f>krpm6/krpmMax*vmax6</f>
        <v>154.66666666666666</v>
      </c>
      <c r="J63" s="25"/>
    </row>
    <row r="64" spans="1:10" ht="12.75">
      <c r="A64" s="11">
        <f>rpm7/1000</f>
        <v>6</v>
      </c>
      <c r="B64" s="111">
        <f>cPower7</f>
        <v>49.03776223776224</v>
      </c>
      <c r="C64" s="112">
        <f>Power7/(krpm7*1000/60*2*PI())*1000</f>
        <v>78.04602258304944</v>
      </c>
      <c r="D64" s="37">
        <f>krpm7/krpmMax*vmax1</f>
        <v>64.49420849420851</v>
      </c>
      <c r="E64" s="37">
        <f>krpm7/krpmMax*vmax2</f>
        <v>90.14857142857142</v>
      </c>
      <c r="F64" s="37">
        <f>krpm7/krpmMax*vmax3</f>
        <v>117.84126984126985</v>
      </c>
      <c r="G64" s="37">
        <f>krpm7/krpmMax*vmax4</f>
        <v>145.82857142857145</v>
      </c>
      <c r="H64" s="37">
        <f>krpm7/krpmMax*vmax5</f>
        <v>166.00248447204973</v>
      </c>
      <c r="I64" s="44">
        <f>krpm7/krpmMax*vmax6</f>
        <v>185.60000000000002</v>
      </c>
      <c r="J64" s="25"/>
    </row>
    <row r="65" spans="1:10" ht="12.75">
      <c r="A65" s="11">
        <f>rpm8/1000</f>
        <v>7</v>
      </c>
      <c r="B65" s="111">
        <f>cPower8</f>
        <v>58.427972027972025</v>
      </c>
      <c r="C65" s="112">
        <f>Power8/(krpm8*1000/60*2*PI())*1000</f>
        <v>79.70657625502919</v>
      </c>
      <c r="D65" s="37">
        <f>krpm8/krpmMax*vmax1</f>
        <v>75.24324324324324</v>
      </c>
      <c r="E65" s="37">
        <f>krpm8/krpmMax*vmax2</f>
        <v>105.1733333333333</v>
      </c>
      <c r="F65" s="37">
        <f>krpm8/krpmMax*vmax3</f>
        <v>137.48148148148147</v>
      </c>
      <c r="G65" s="37">
        <f>krpm8/krpmMax*vmax4</f>
        <v>170.13333333333333</v>
      </c>
      <c r="H65" s="37">
        <f>krpm8/krpmMax*vmax5</f>
        <v>193.6695652173913</v>
      </c>
      <c r="I65" s="44">
        <f>krpm8/krpmMax*vmax6</f>
        <v>216.5333333333333</v>
      </c>
      <c r="J65" s="25"/>
    </row>
    <row r="66" spans="1:10" ht="12.75">
      <c r="A66" s="11">
        <f>rpm9/1000</f>
        <v>8</v>
      </c>
      <c r="B66" s="111">
        <f>cPower9</f>
        <v>68.86153846153846</v>
      </c>
      <c r="C66" s="112">
        <f>Power9/(krpm9*1000/60*2*PI())*1000</f>
        <v>82.19740676299885</v>
      </c>
      <c r="D66" s="37">
        <f>krpm9/krpmMax*vmax1</f>
        <v>85.99227799227799</v>
      </c>
      <c r="E66" s="37">
        <f>krpm9/krpmMax*vmax2</f>
        <v>120.1980952380952</v>
      </c>
      <c r="F66" s="37">
        <f>krpm9/krpmMax*vmax3</f>
        <v>157.1216931216931</v>
      </c>
      <c r="G66" s="37">
        <f>krpm9/krpmMax*vmax4</f>
        <v>194.43809523809523</v>
      </c>
      <c r="H66" s="37">
        <f>krpm9/krpmMax*vmax5</f>
        <v>221.33664596273292</v>
      </c>
      <c r="I66" s="44">
        <f>krpm9/krpmMax*vmax6</f>
        <v>247.46666666666664</v>
      </c>
      <c r="J66" s="25"/>
    </row>
    <row r="67" spans="1:10" ht="12.75">
      <c r="A67" s="11">
        <f>rpm10/1000</f>
        <v>9</v>
      </c>
      <c r="B67" s="111">
        <f>cPower10</f>
        <v>77.20839160839161</v>
      </c>
      <c r="C67" s="112">
        <f>Power10/(krpm10*1000/60*2*PI())*1000</f>
        <v>81.92064781766891</v>
      </c>
      <c r="D67" s="37">
        <f>krpm10/krpmMax*vmax1</f>
        <v>96.74131274131274</v>
      </c>
      <c r="E67" s="37">
        <f>krpm10/krpmMax*vmax2</f>
        <v>135.22285714285712</v>
      </c>
      <c r="F67" s="37">
        <f>krpm10/krpmMax*vmax3</f>
        <v>176.76190476190476</v>
      </c>
      <c r="G67" s="37">
        <f>krpm10/krpmMax*vmax4</f>
        <v>218.74285714285713</v>
      </c>
      <c r="H67" s="37">
        <f>krpm10/krpmMax*vmax5</f>
        <v>249.00372670807454</v>
      </c>
      <c r="I67" s="44">
        <f>krpm10/krpmMax*vmax6</f>
        <v>278.4</v>
      </c>
      <c r="J67" s="25"/>
    </row>
    <row r="68" spans="1:10" ht="12.75">
      <c r="A68" s="11">
        <f>rpm11/1000</f>
        <v>10</v>
      </c>
      <c r="B68" s="111">
        <f>cPower11</f>
        <v>79.2951048951049</v>
      </c>
      <c r="C68" s="112">
        <f>Power11/(krpm11*1000/60*2*PI())*1000</f>
        <v>75.72124744227774</v>
      </c>
      <c r="D68" s="37">
        <f>krpm11/krpmMax*vmax1</f>
        <v>107.49034749034749</v>
      </c>
      <c r="E68" s="37">
        <f>krpm11/krpmMax*vmax2</f>
        <v>150.24761904761903</v>
      </c>
      <c r="F68" s="37">
        <f>krpm11/krpmMax*vmax3</f>
        <v>196.40211640211638</v>
      </c>
      <c r="G68" s="37">
        <f>krpm11/krpmMax*vmax4</f>
        <v>243.04761904761907</v>
      </c>
      <c r="H68" s="37">
        <f>krpm11/krpmMax*vmax5</f>
        <v>276.67080745341616</v>
      </c>
      <c r="I68" s="44">
        <f>krpm11/krpmMax*vmax6</f>
        <v>309.3333333333333</v>
      </c>
      <c r="J68" s="25"/>
    </row>
    <row r="69" spans="1:10" ht="12.75">
      <c r="A69" s="11">
        <f>rpmMax/1000</f>
        <v>10.9</v>
      </c>
      <c r="B69" s="113">
        <f>cPowerRpmMax</f>
        <v>77.20839160839161</v>
      </c>
      <c r="C69" s="114">
        <f>PowerRpmMax/(krpmMax*1000/60*2*PI())*1000</f>
        <v>67.64090186780001</v>
      </c>
      <c r="D69" s="43">
        <f>vmax1</f>
        <v>117.16447876447877</v>
      </c>
      <c r="E69" s="43">
        <f>vmax2</f>
        <v>163.76990476190474</v>
      </c>
      <c r="F69" s="43">
        <f>vmax3</f>
        <v>214.07830687830688</v>
      </c>
      <c r="G69" s="43">
        <f>vmax4</f>
        <v>264.9219047619048</v>
      </c>
      <c r="H69" s="43">
        <f>vmax5</f>
        <v>301.57118012422364</v>
      </c>
      <c r="I69" s="45">
        <f>vmax6</f>
        <v>337.17333333333335</v>
      </c>
      <c r="J69" s="25"/>
    </row>
    <row r="70" spans="1:7" ht="12.75">
      <c r="A70" s="11"/>
      <c r="B70" s="25"/>
      <c r="C70" s="26"/>
      <c r="D70" s="2"/>
      <c r="F70" s="2"/>
      <c r="G70" s="2"/>
    </row>
    <row r="71" spans="1:5" ht="12.75">
      <c r="A71"/>
      <c r="B71"/>
      <c r="C71"/>
      <c r="D71"/>
      <c r="E71"/>
    </row>
    <row r="72" spans="1:15" s="4" customFormat="1" ht="12.75">
      <c r="A72" s="46" t="s">
        <v>87</v>
      </c>
      <c r="B72" s="47"/>
      <c r="C72" s="47"/>
      <c r="D72" s="47"/>
      <c r="E72" s="47"/>
      <c r="F72" s="59"/>
      <c r="G72" s="59"/>
      <c r="H72" s="59"/>
      <c r="I72" s="59"/>
      <c r="J72" s="59"/>
      <c r="K72" s="59"/>
      <c r="L72" s="59"/>
      <c r="M72" s="59"/>
      <c r="N72" s="59"/>
      <c r="O72" s="64"/>
    </row>
    <row r="73" spans="1:15" s="4" customFormat="1" ht="12.75">
      <c r="A73" s="104" t="s">
        <v>40</v>
      </c>
      <c r="B73" s="51">
        <v>1</v>
      </c>
      <c r="C73" s="51"/>
      <c r="D73" s="51">
        <v>2</v>
      </c>
      <c r="E73" s="51"/>
      <c r="F73" s="61">
        <v>3</v>
      </c>
      <c r="G73" s="61"/>
      <c r="H73" s="61">
        <v>4</v>
      </c>
      <c r="I73" s="61"/>
      <c r="J73" s="61">
        <v>5</v>
      </c>
      <c r="K73" s="61"/>
      <c r="L73" s="61">
        <v>6</v>
      </c>
      <c r="M73" s="61"/>
      <c r="N73" s="61"/>
      <c r="O73" s="62"/>
    </row>
    <row r="74" spans="1:15" s="4" customFormat="1" ht="12.75">
      <c r="A74" s="104" t="s">
        <v>7</v>
      </c>
      <c r="B74" s="51" t="s">
        <v>1</v>
      </c>
      <c r="C74" s="51" t="s">
        <v>14</v>
      </c>
      <c r="D74" s="51" t="s">
        <v>1</v>
      </c>
      <c r="E74" s="51" t="s">
        <v>14</v>
      </c>
      <c r="F74" s="51" t="s">
        <v>1</v>
      </c>
      <c r="G74" s="51" t="s">
        <v>14</v>
      </c>
      <c r="H74" s="51" t="s">
        <v>1</v>
      </c>
      <c r="I74" s="51" t="s">
        <v>14</v>
      </c>
      <c r="J74" s="51" t="s">
        <v>1</v>
      </c>
      <c r="K74" s="51" t="s">
        <v>14</v>
      </c>
      <c r="L74" s="51" t="s">
        <v>1</v>
      </c>
      <c r="M74" s="51" t="s">
        <v>14</v>
      </c>
      <c r="N74" s="61"/>
      <c r="O74" s="62"/>
    </row>
    <row r="75" spans="1:15" s="4" customFormat="1" ht="12.75">
      <c r="A75" s="104">
        <f>krpm0</f>
        <v>0</v>
      </c>
      <c r="B75" s="82">
        <f>krpm0/krpmMax*vmax1</f>
        <v>0</v>
      </c>
      <c r="C75" s="82"/>
      <c r="D75" s="82">
        <f>krpm0/krpmMax*vmax2</f>
        <v>0</v>
      </c>
      <c r="E75" s="82"/>
      <c r="F75" s="82">
        <f>krpm0/krpmMax*vmax3</f>
        <v>0</v>
      </c>
      <c r="G75" s="82"/>
      <c r="H75" s="82">
        <f>krpm0/krpmMax*vmax4</f>
        <v>0</v>
      </c>
      <c r="I75" s="82"/>
      <c r="J75" s="82">
        <f>krpm0/krpmMax*vmax5</f>
        <v>0</v>
      </c>
      <c r="K75" s="82"/>
      <c r="L75" s="82">
        <f>krpm0/krpmMax*vmax6</f>
        <v>0</v>
      </c>
      <c r="M75" s="82"/>
      <c r="N75" s="61"/>
      <c r="O75" s="62"/>
    </row>
    <row r="76" spans="1:15" ht="12.75">
      <c r="A76" s="50">
        <f>krpm1</f>
        <v>0</v>
      </c>
      <c r="B76" s="82">
        <f>krpm1/krpmMax*vmax1</f>
        <v>0</v>
      </c>
      <c r="C76" s="82"/>
      <c r="D76" s="82">
        <f>krpm1/krpmMax*vmax2</f>
        <v>0</v>
      </c>
      <c r="E76" s="82"/>
      <c r="F76" s="82">
        <f>krpm1/krpmMax*vmax3</f>
        <v>0</v>
      </c>
      <c r="G76" s="82"/>
      <c r="H76" s="82">
        <f>krpm1/krpmMax*vmax4</f>
        <v>0</v>
      </c>
      <c r="I76" s="82"/>
      <c r="J76" s="82">
        <f>krpm1/krpmMax*vmax5</f>
        <v>0</v>
      </c>
      <c r="K76" s="82"/>
      <c r="L76" s="82">
        <f>krpm1/krpmMax*vmax6</f>
        <v>0</v>
      </c>
      <c r="M76" s="82"/>
      <c r="N76" s="24"/>
      <c r="O76" s="72"/>
    </row>
    <row r="77" spans="1:15" ht="12.75">
      <c r="A77" s="50">
        <f>krpm2</f>
        <v>0</v>
      </c>
      <c r="B77" s="82">
        <f>krpm2/krpmMax*vmax1</f>
        <v>0</v>
      </c>
      <c r="C77" s="82"/>
      <c r="D77" s="82">
        <f>krpm2/krpmMax*vmax2</f>
        <v>0</v>
      </c>
      <c r="E77" s="82"/>
      <c r="F77" s="82">
        <f>krpm2/krpmMax*vmax3</f>
        <v>0</v>
      </c>
      <c r="G77" s="82"/>
      <c r="H77" s="82">
        <f>krpm2/krpmMax*vmax4</f>
        <v>0</v>
      </c>
      <c r="I77" s="82"/>
      <c r="J77" s="82">
        <f>krpm2/krpmMax*vmax5</f>
        <v>0</v>
      </c>
      <c r="K77" s="82"/>
      <c r="L77" s="82">
        <f>krpm2/krpmMax*vmax6</f>
        <v>0</v>
      </c>
      <c r="M77" s="82"/>
      <c r="N77" s="24"/>
      <c r="O77" s="72"/>
    </row>
    <row r="78" spans="1:15" ht="12.75">
      <c r="A78" s="50">
        <f>krpm3</f>
        <v>0</v>
      </c>
      <c r="B78" s="82">
        <f>krpm3/krpmMax*vmax1</f>
        <v>0</v>
      </c>
      <c r="C78" s="78"/>
      <c r="D78" s="78">
        <f>krpm3/krpmMax*vmax2</f>
        <v>0</v>
      </c>
      <c r="E78" s="78"/>
      <c r="F78" s="78">
        <f>krpm3/krpmMax*vmax3</f>
        <v>0</v>
      </c>
      <c r="G78" s="78"/>
      <c r="H78" s="78">
        <f>krpm3/krpmMax*vmax4</f>
        <v>0</v>
      </c>
      <c r="I78" s="78"/>
      <c r="J78" s="78">
        <f>krpm3/krpmMax*vmax5</f>
        <v>0</v>
      </c>
      <c r="K78" s="78"/>
      <c r="L78" s="78">
        <f>krpm3/krpmMax*vmax6</f>
        <v>0</v>
      </c>
      <c r="M78" s="78"/>
      <c r="N78" s="24"/>
      <c r="O78" s="72"/>
    </row>
    <row r="79" spans="1:15" ht="12.75">
      <c r="A79" s="50">
        <f>krpm4</f>
        <v>3.6</v>
      </c>
      <c r="B79" s="82">
        <f>krpm4/krpmMax*vmax1</f>
        <v>38.6965250965251</v>
      </c>
      <c r="C79" s="78">
        <f>Torque4*Ratio1*efficiency/r_wheel</f>
        <v>2231.6854283963125</v>
      </c>
      <c r="D79" s="78">
        <f>krpm4/krpmMax*vmax2</f>
        <v>54.08914285714285</v>
      </c>
      <c r="E79" s="78">
        <f>Torque4*Ratio2*efficiency/r_wheel</f>
        <v>1596.5952985347228</v>
      </c>
      <c r="F79" s="78">
        <f>krpm4/krpmMax*vmax3</f>
        <v>70.70476190476191</v>
      </c>
      <c r="G79" s="78">
        <f>Torque4*Ratio3*efficiency/r_wheel</f>
        <v>1221.3954033790628</v>
      </c>
      <c r="H79" s="78">
        <f>krpm4/krpmMax*vmax4</f>
        <v>87.49714285714288</v>
      </c>
      <c r="I79" s="78">
        <f>Torque4*Ratio4*efficiency/r_wheel</f>
        <v>986.9861845487378</v>
      </c>
      <c r="J79" s="78">
        <f>krpm4/krpmMax*vmax5</f>
        <v>99.60149068322983</v>
      </c>
      <c r="K79" s="78">
        <f>Torque4*Ratio5*efficiency/r_wheel</f>
        <v>867.0399468431619</v>
      </c>
      <c r="L79" s="78">
        <f>krpm4/krpmMax*vmax6</f>
        <v>111.36000000000001</v>
      </c>
      <c r="M79" s="78">
        <f>Torque4*Ratio6*efficiency/r_wheel</f>
        <v>775.4891450025796</v>
      </c>
      <c r="N79" s="24"/>
      <c r="O79" s="72"/>
    </row>
    <row r="80" spans="1:15" ht="12.75">
      <c r="A80" s="50">
        <f>krpm5</f>
        <v>4</v>
      </c>
      <c r="B80" s="82">
        <f>krpm5/krpmMax*vmax1</f>
        <v>42.996138996138995</v>
      </c>
      <c r="C80" s="78">
        <f>Torque5*Ratio1*efficiency/r_wheel</f>
        <v>2191.1093296981976</v>
      </c>
      <c r="D80" s="78">
        <f>krpm5/krpmMax*vmax2</f>
        <v>60.0990476190476</v>
      </c>
      <c r="E80" s="78">
        <f>Torque5*Ratio2*efficiency/r_wheel</f>
        <v>1567.5662931068189</v>
      </c>
      <c r="F80" s="78">
        <f>krpm5/krpmMax*vmax3</f>
        <v>78.56084656084656</v>
      </c>
      <c r="G80" s="78">
        <f>Torque5*Ratio3*efficiency/r_wheel</f>
        <v>1199.1882142267164</v>
      </c>
      <c r="H80" s="78">
        <f>krpm5/krpmMax*vmax4</f>
        <v>97.21904761904761</v>
      </c>
      <c r="I80" s="78">
        <f>Torque5*Ratio4*efficiency/r_wheel</f>
        <v>969.0409811933062</v>
      </c>
      <c r="J80" s="78">
        <f>krpm5/krpmMax*vmax5</f>
        <v>110.66832298136646</v>
      </c>
      <c r="K80" s="78">
        <f>Torque5*Ratio5*efficiency/r_wheel</f>
        <v>851.2755841732863</v>
      </c>
      <c r="L80" s="78">
        <f>krpm5/krpmMax*vmax6</f>
        <v>123.73333333333332</v>
      </c>
      <c r="M80" s="78">
        <f>Torque5*Ratio6*efficiency/r_wheel</f>
        <v>761.3893423661691</v>
      </c>
      <c r="N80" s="24"/>
      <c r="O80" s="72"/>
    </row>
    <row r="81" spans="1:15" ht="12.75">
      <c r="A81" s="50">
        <f>krpm6</f>
        <v>5</v>
      </c>
      <c r="B81" s="82">
        <f>krpm6/krpmMax*vmax1</f>
        <v>53.745173745173744</v>
      </c>
      <c r="C81" s="78">
        <f>Torque6*Ratio1*efficiency/r_wheel</f>
        <v>2307.968493948767</v>
      </c>
      <c r="D81" s="78">
        <f>krpm6/krpmMax*vmax2</f>
        <v>75.12380952380951</v>
      </c>
      <c r="E81" s="78">
        <f>Torque6*Ratio2*efficiency/r_wheel</f>
        <v>1651.169828739182</v>
      </c>
      <c r="F81" s="78">
        <f>krpm6/krpmMax*vmax3</f>
        <v>98.20105820105819</v>
      </c>
      <c r="G81" s="78">
        <f>Torque6*Ratio3*efficiency/r_wheel</f>
        <v>1263.1449189854743</v>
      </c>
      <c r="H81" s="78">
        <f>krpm6/krpmMax*vmax4</f>
        <v>121.52380952380953</v>
      </c>
      <c r="I81" s="78">
        <f>Torque6*Ratio4*efficiency/r_wheel</f>
        <v>1020.7231668569488</v>
      </c>
      <c r="J81" s="78">
        <f>krpm6/krpmMax*vmax5</f>
        <v>138.33540372670808</v>
      </c>
      <c r="K81" s="78">
        <f>Torque6*Ratio5*efficiency/r_wheel</f>
        <v>896.6769486625278</v>
      </c>
      <c r="L81" s="78">
        <f>krpm6/krpmMax*vmax6</f>
        <v>154.66666666666666</v>
      </c>
      <c r="M81" s="78">
        <f>Torque6*Ratio6*efficiency/r_wheel</f>
        <v>801.9967739590312</v>
      </c>
      <c r="N81" s="24"/>
      <c r="O81" s="72"/>
    </row>
    <row r="82" spans="1:15" ht="12.75">
      <c r="A82" s="50">
        <f>krpm7</f>
        <v>6</v>
      </c>
      <c r="B82" s="82">
        <f>krpm7/krpmMax*vmax1</f>
        <v>64.49420849420851</v>
      </c>
      <c r="C82" s="78">
        <f>Torque7*Ratio1*efficiency/r_wheel</f>
        <v>2288.491966573673</v>
      </c>
      <c r="D82" s="78">
        <f>krpm7/krpmMax*vmax2</f>
        <v>90.14857142857142</v>
      </c>
      <c r="E82" s="78">
        <f>Torque7*Ratio2*efficiency/r_wheel</f>
        <v>1637.2359061337886</v>
      </c>
      <c r="F82" s="78">
        <f>krpm7/krpmMax*vmax3</f>
        <v>117.84126984126985</v>
      </c>
      <c r="G82" s="78">
        <f>Torque7*Ratio3*efficiency/r_wheel</f>
        <v>1252.485468192348</v>
      </c>
      <c r="H82" s="78">
        <f>krpm7/krpmMax*vmax4</f>
        <v>145.82857142857145</v>
      </c>
      <c r="I82" s="78">
        <f>Torque7*Ratio4*efficiency/r_wheel</f>
        <v>1012.1094692463417</v>
      </c>
      <c r="J82" s="78">
        <f>krpm7/krpmMax*vmax5</f>
        <v>166.00248447204973</v>
      </c>
      <c r="K82" s="78">
        <f>Torque7*Ratio5*efficiency/r_wheel</f>
        <v>889.1100545809877</v>
      </c>
      <c r="L82" s="78">
        <f>krpm7/krpmMax*vmax6</f>
        <v>185.60000000000002</v>
      </c>
      <c r="M82" s="78">
        <f>Torque7*Ratio6*efficiency/r_wheel</f>
        <v>795.2288686935543</v>
      </c>
      <c r="N82" s="24"/>
      <c r="O82" s="72"/>
    </row>
    <row r="83" spans="1:15" ht="12.75">
      <c r="A83" s="50">
        <f>krpm8</f>
        <v>7</v>
      </c>
      <c r="B83" s="82">
        <f>krpm8/krpmMax*vmax1</f>
        <v>75.24324324324324</v>
      </c>
      <c r="C83" s="78">
        <f>Torque8*Ratio1*efficiency/r_wheel</f>
        <v>2337.18328501141</v>
      </c>
      <c r="D83" s="78">
        <f>krpm8/krpmMax*vmax2</f>
        <v>105.1733333333333</v>
      </c>
      <c r="E83" s="78">
        <f>Torque8*Ratio2*efficiency/r_wheel</f>
        <v>1672.0707126472726</v>
      </c>
      <c r="F83" s="78">
        <f>krpm8/krpmMax*vmax3</f>
        <v>137.48148148148147</v>
      </c>
      <c r="G83" s="78">
        <f>Torque8*Ratio3*efficiency/r_wheel</f>
        <v>1279.1340951751636</v>
      </c>
      <c r="H83" s="78">
        <f>krpm8/krpmMax*vmax4</f>
        <v>170.13333333333333</v>
      </c>
      <c r="I83" s="78">
        <f>Torque8*Ratio4*efficiency/r_wheel</f>
        <v>1033.6437132728595</v>
      </c>
      <c r="J83" s="78">
        <f>krpm8/krpmMax*vmax5</f>
        <v>193.6695652173913</v>
      </c>
      <c r="K83" s="78">
        <f>Torque8*Ratio5*efficiency/r_wheel</f>
        <v>908.0272897848384</v>
      </c>
      <c r="L83" s="78">
        <f>krpm8/krpmMax*vmax6</f>
        <v>216.5333333333333</v>
      </c>
      <c r="M83" s="78">
        <f>Torque8*Ratio6*efficiency/r_wheel</f>
        <v>812.1486318572469</v>
      </c>
      <c r="N83" s="24"/>
      <c r="O83" s="72"/>
    </row>
    <row r="84" spans="1:15" ht="12.75">
      <c r="A84" s="50">
        <f>krpm9</f>
        <v>8</v>
      </c>
      <c r="B84" s="78">
        <f>krpm9/krpmMax*vmax1</f>
        <v>85.99227799227799</v>
      </c>
      <c r="C84" s="78">
        <f>Torque9*Ratio1*efficiency/r_wheel</f>
        <v>2410.2202626680164</v>
      </c>
      <c r="D84" s="99">
        <f>krpm9/krpmMax*vmax2</f>
        <v>120.1980952380952</v>
      </c>
      <c r="E84" s="99">
        <f>Torque9*Ratio2*efficiency/r_wheel</f>
        <v>1724.3229224174997</v>
      </c>
      <c r="F84" s="78">
        <f>krpm9/krpmMax*vmax3</f>
        <v>157.1216931216931</v>
      </c>
      <c r="G84" s="78">
        <f>Torque9*Ratio3*efficiency/r_wheel</f>
        <v>1319.1070356493876</v>
      </c>
      <c r="H84" s="78">
        <f>krpm9/krpmMax*vmax4</f>
        <v>194.43809523809523</v>
      </c>
      <c r="I84" s="78">
        <f>Torque9*Ratio4*efficiency/r_wheel</f>
        <v>1065.9450793126364</v>
      </c>
      <c r="J84" s="78">
        <f>krpm9/krpmMax*vmax5</f>
        <v>221.33664596273292</v>
      </c>
      <c r="K84" s="78">
        <f>Torque9*Ratio5*efficiency/r_wheel</f>
        <v>936.4031425906145</v>
      </c>
      <c r="L84" s="78">
        <f>krpm9/krpmMax*vmax6</f>
        <v>247.46666666666664</v>
      </c>
      <c r="M84" s="78">
        <f>Torque9*Ratio6*efficiency/r_wheel</f>
        <v>837.5282766027857</v>
      </c>
      <c r="N84" s="24" t="s">
        <v>97</v>
      </c>
      <c r="O84" s="72"/>
    </row>
    <row r="85" spans="1:15" ht="12.75">
      <c r="A85" s="50">
        <f>krpm10</f>
        <v>9</v>
      </c>
      <c r="B85" s="78">
        <f>krpm10/krpmMax*vmax1</f>
        <v>96.74131274131274</v>
      </c>
      <c r="C85" s="78">
        <f>Torque10*Ratio1*efficiency/r_wheel</f>
        <v>2402.105042928394</v>
      </c>
      <c r="D85" s="78">
        <f>krpm10/krpmMax*vmax2</f>
        <v>135.22285714285712</v>
      </c>
      <c r="E85" s="78">
        <f>Torque10*Ratio2*efficiency/r_wheel</f>
        <v>1718.5171213319195</v>
      </c>
      <c r="F85" s="99">
        <f>krpm10/krpmMax*vmax3</f>
        <v>176.76190476190476</v>
      </c>
      <c r="G85" s="99">
        <f>Torque10*Ratio3*efficiency/r_wheel</f>
        <v>1314.6655978189185</v>
      </c>
      <c r="H85" s="99">
        <f>krpm10/krpmMax*vmax4</f>
        <v>218.74285714285713</v>
      </c>
      <c r="I85" s="99">
        <f>Torque10*Ratio4*efficiency/r_wheel</f>
        <v>1062.3560386415502</v>
      </c>
      <c r="J85" s="145">
        <f>krpm10/krpmMax*vmax5</f>
        <v>249.00372670807454</v>
      </c>
      <c r="K85" s="145">
        <f>Torque10*Ratio5*efficiency/r_wheel</f>
        <v>933.2502700566396</v>
      </c>
      <c r="L85" s="99">
        <f>krpm10/krpmMax*vmax6</f>
        <v>278.4</v>
      </c>
      <c r="M85" s="99">
        <f>Torque10*Ratio6*efficiency/r_wheel</f>
        <v>834.7083160755038</v>
      </c>
      <c r="N85" s="24"/>
      <c r="O85" s="72"/>
    </row>
    <row r="86" spans="1:15" ht="12.75">
      <c r="A86" s="50">
        <f>krpm11</f>
        <v>10</v>
      </c>
      <c r="B86" s="78">
        <f>krpm11/krpmMax*vmax1</f>
        <v>107.49034749034749</v>
      </c>
      <c r="C86" s="78">
        <f>Torque11*Ratio1*efficiency/r_wheel</f>
        <v>2220.3241207608394</v>
      </c>
      <c r="D86" s="78">
        <f>krpm11/krpmMax*vmax2</f>
        <v>150.24761904761903</v>
      </c>
      <c r="E86" s="78">
        <f>Torque11*Ratio2*efficiency/r_wheel</f>
        <v>1588.4671770149096</v>
      </c>
      <c r="F86" s="78">
        <f>krpm11/krpmMax*vmax3</f>
        <v>196.40211640211638</v>
      </c>
      <c r="G86" s="78">
        <f>Torque11*Ratio3*efficiency/r_wheel</f>
        <v>1215.1773904164056</v>
      </c>
      <c r="H86" s="95">
        <f>krpm11/krpmMax*vmax4</f>
        <v>243.04761904761907</v>
      </c>
      <c r="I86" s="144">
        <f>Torque11*Ratio4*efficiency/r_wheel</f>
        <v>981.9615276092167</v>
      </c>
      <c r="J86" s="78">
        <f>krpm11/krpmMax*vmax5</f>
        <v>276.67080745341616</v>
      </c>
      <c r="K86" s="143">
        <f>Torque11*Ratio5*efficiency/r_wheel</f>
        <v>862.6259252955966</v>
      </c>
      <c r="L86" s="78">
        <f>krpm11/krpmMax*vmax6</f>
        <v>309.3333333333333</v>
      </c>
      <c r="M86" s="78">
        <f>Torque11*Ratio6*efficiency/r_wheel</f>
        <v>771.5412002643845</v>
      </c>
      <c r="N86" s="24"/>
      <c r="O86" s="72"/>
    </row>
    <row r="87" spans="1:15" ht="12.75">
      <c r="A87" s="105">
        <f>krpmMax</f>
        <v>10.9</v>
      </c>
      <c r="B87" s="106">
        <f>vmax1</f>
        <v>117.16447876447877</v>
      </c>
      <c r="C87" s="106">
        <f>TorqueRpmMax*Ratio1*efficiency/r_wheel</f>
        <v>1983.3894849867474</v>
      </c>
      <c r="D87" s="106">
        <f>vmax2</f>
        <v>163.76990476190474</v>
      </c>
      <c r="E87" s="106">
        <f>TorqueRpmMax*Ratio2*efficiency/r_wheel</f>
        <v>1418.959091008007</v>
      </c>
      <c r="F87" s="106">
        <f>vmax3</f>
        <v>214.07830687830688</v>
      </c>
      <c r="G87" s="106">
        <f>TorqueRpmMax*Ratio3*efficiency/r_wheel</f>
        <v>1085.5037046211253</v>
      </c>
      <c r="H87" s="79">
        <f>vmax4</f>
        <v>264.9219047619048</v>
      </c>
      <c r="I87" s="79">
        <f>TorqueRpmMax*Ratio4*efficiency/r_wheel</f>
        <v>877.1747108049497</v>
      </c>
      <c r="J87" s="79">
        <f>vmax5</f>
        <v>301.57118012422364</v>
      </c>
      <c r="K87" s="79">
        <f>TorqueRpmMax*Ratio5*efficiency/r_wheel</f>
        <v>770.5736174779593</v>
      </c>
      <c r="L87" s="79">
        <f>vmax6</f>
        <v>337.17333333333335</v>
      </c>
      <c r="M87" s="79">
        <f>TorqueRpmMax*Ratio6*efficiency/r_wheel</f>
        <v>689.2087013467461</v>
      </c>
      <c r="N87" s="107" t="s">
        <v>98</v>
      </c>
      <c r="O87" s="74"/>
    </row>
    <row r="88" spans="1:13" ht="12.75">
      <c r="A88" s="4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7"/>
      <c r="M88" s="7"/>
    </row>
    <row r="89" spans="2:11" s="4" customFormat="1" ht="12.75">
      <c r="B89" s="63" t="s">
        <v>44</v>
      </c>
      <c r="C89" s="59"/>
      <c r="D89" s="64"/>
      <c r="F89" s="63" t="s">
        <v>96</v>
      </c>
      <c r="G89" s="64"/>
      <c r="I89" s="63" t="s">
        <v>102</v>
      </c>
      <c r="J89" s="59"/>
      <c r="K89" s="64"/>
    </row>
    <row r="90" spans="1:11" s="4" customFormat="1" ht="12.75">
      <c r="A90" s="9" t="s">
        <v>1</v>
      </c>
      <c r="B90" s="65" t="s">
        <v>41</v>
      </c>
      <c r="C90" s="61" t="s">
        <v>42</v>
      </c>
      <c r="D90" s="62" t="s">
        <v>43</v>
      </c>
      <c r="F90" s="65"/>
      <c r="G90" s="62"/>
      <c r="I90" s="65" t="s">
        <v>104</v>
      </c>
      <c r="J90" s="61" t="s">
        <v>103</v>
      </c>
      <c r="K90" s="62" t="s">
        <v>105</v>
      </c>
    </row>
    <row r="91" spans="1:11" ht="12.75">
      <c r="A91" s="28">
        <v>0</v>
      </c>
      <c r="B91" s="75">
        <f aca="true" t="shared" si="0" ref="B91:B103">M_tot*9.81*SIN(RADIANS(incline))</f>
        <v>0</v>
      </c>
      <c r="C91" s="76">
        <f>Cd*A*POWER(krpm0/krpmMax*vmax6mps3,2)</f>
        <v>0</v>
      </c>
      <c r="D91" s="77">
        <f aca="true" t="shared" si="1" ref="D91:D103">SUM(B91:C91)</f>
        <v>0</v>
      </c>
      <c r="F91" s="70"/>
      <c r="G91" s="71"/>
      <c r="H91" s="7"/>
      <c r="I91" s="66">
        <f>B57</f>
        <v>0</v>
      </c>
      <c r="J91" s="67">
        <f>C57</f>
        <v>0</v>
      </c>
      <c r="K91" s="44">
        <f>J98</f>
        <v>49.03776223776224</v>
      </c>
    </row>
    <row r="92" spans="1:11" ht="12.75">
      <c r="A92" s="28">
        <f>krpm1/krpmMax*vmax6</f>
        <v>0</v>
      </c>
      <c r="B92" s="75">
        <f t="shared" si="0"/>
        <v>0</v>
      </c>
      <c r="C92" s="78">
        <f>Cd*A*POWER(krpm1/krpmMax*vmax6mps3,2)</f>
        <v>0</v>
      </c>
      <c r="D92" s="77">
        <f t="shared" si="1"/>
        <v>0</v>
      </c>
      <c r="F92" s="70"/>
      <c r="G92" s="72"/>
      <c r="I92" s="66">
        <v>0</v>
      </c>
      <c r="J92" s="67">
        <f>Power1</f>
        <v>0</v>
      </c>
      <c r="K92" s="44">
        <f>K91</f>
        <v>49.03776223776224</v>
      </c>
    </row>
    <row r="93" spans="1:12" ht="12.75">
      <c r="A93" s="28">
        <f>krpm2/krpmMax*vmax6</f>
        <v>0</v>
      </c>
      <c r="B93" s="75">
        <f t="shared" si="0"/>
        <v>0</v>
      </c>
      <c r="C93" s="78">
        <f>Cd*A*POWER(krpm2/krpmMax*vmax6mps3,2)</f>
        <v>0</v>
      </c>
      <c r="D93" s="77">
        <f t="shared" si="1"/>
        <v>0</v>
      </c>
      <c r="F93" s="70"/>
      <c r="G93" s="72"/>
      <c r="I93" s="66">
        <v>0</v>
      </c>
      <c r="J93" s="67">
        <f>Power2</f>
        <v>0</v>
      </c>
      <c r="K93" s="44">
        <f aca="true" t="shared" si="2" ref="K93:K103">K92</f>
        <v>49.03776223776224</v>
      </c>
      <c r="L93" s="3"/>
    </row>
    <row r="94" spans="1:11" ht="12.75">
      <c r="A94" s="28">
        <f>3/4*A95</f>
        <v>83.52000000000001</v>
      </c>
      <c r="B94" s="75">
        <f t="shared" si="0"/>
        <v>0</v>
      </c>
      <c r="C94" s="78">
        <f>Cd*A*POWER(3/4*krpm4/krpmMax*vmax6mps3,2)</f>
        <v>102.26560000000002</v>
      </c>
      <c r="D94" s="77">
        <f t="shared" si="1"/>
        <v>102.26560000000002</v>
      </c>
      <c r="F94" s="70"/>
      <c r="G94" s="72"/>
      <c r="I94" s="66">
        <v>0</v>
      </c>
      <c r="J94" s="67">
        <f>Power3</f>
        <v>0</v>
      </c>
      <c r="K94" s="44">
        <f t="shared" si="2"/>
        <v>49.03776223776224</v>
      </c>
    </row>
    <row r="95" spans="1:11" ht="12.75">
      <c r="A95" s="28">
        <f>krpm4/krpmMax*vmax6</f>
        <v>111.36000000000001</v>
      </c>
      <c r="B95" s="75">
        <f t="shared" si="0"/>
        <v>0</v>
      </c>
      <c r="C95" s="78">
        <f>Cd*A*POWER(krpm4/krpmMax*vmax6mps3,2)</f>
        <v>181.8055111111112</v>
      </c>
      <c r="D95" s="77">
        <f t="shared" si="1"/>
        <v>181.8055111111112</v>
      </c>
      <c r="F95" s="70">
        <f>MAX($D$112:$D$135)*1000/(A95*1000/3600)</f>
        <v>2143.1700007344016</v>
      </c>
      <c r="G95" s="72"/>
      <c r="I95" s="66">
        <f>Torque4</f>
        <v>76.1087099657397</v>
      </c>
      <c r="J95" s="67">
        <f>Power4</f>
        <v>28.692307692307697</v>
      </c>
      <c r="K95" s="44">
        <f t="shared" si="2"/>
        <v>49.03776223776224</v>
      </c>
    </row>
    <row r="96" spans="1:12" ht="12.75">
      <c r="A96" s="28">
        <f>krpm5/krpmMax*vmax6</f>
        <v>123.73333333333332</v>
      </c>
      <c r="B96" s="75">
        <f t="shared" si="0"/>
        <v>0</v>
      </c>
      <c r="C96" s="78">
        <f>Cd*A*POWER(krpm5/krpmMax*vmax6mps3,2)</f>
        <v>224.4512482853224</v>
      </c>
      <c r="D96" s="77">
        <f t="shared" si="1"/>
        <v>224.4512482853224</v>
      </c>
      <c r="F96" s="70">
        <f aca="true" t="shared" si="3" ref="F96:F103">MAX($D$112:$D$135)*1000/(A96*1000/3600)</f>
        <v>1928.853000660962</v>
      </c>
      <c r="G96" s="72"/>
      <c r="I96" s="66">
        <f>Torque5</f>
        <v>74.7249152390899</v>
      </c>
      <c r="J96" s="67">
        <f>Power5</f>
        <v>31.300699300699304</v>
      </c>
      <c r="K96" s="44">
        <f t="shared" si="2"/>
        <v>49.03776223776224</v>
      </c>
      <c r="L96" s="3"/>
    </row>
    <row r="97" spans="1:11" ht="12.75">
      <c r="A97" s="28">
        <f>krpm6/krpmMax*vmax6</f>
        <v>154.66666666666666</v>
      </c>
      <c r="B97" s="75">
        <f t="shared" si="0"/>
        <v>0</v>
      </c>
      <c r="C97" s="78">
        <f>Cd*A*POWER(krpm6/krpmMax*vmax6mps3,2)</f>
        <v>350.70507544581625</v>
      </c>
      <c r="D97" s="77">
        <f t="shared" si="1"/>
        <v>350.70507544581625</v>
      </c>
      <c r="F97" s="70">
        <f t="shared" si="3"/>
        <v>1543.0824005287693</v>
      </c>
      <c r="G97" s="72"/>
      <c r="I97" s="66">
        <f>Torque6</f>
        <v>78.71024405184133</v>
      </c>
      <c r="J97" s="67">
        <f>Power6</f>
        <v>41.21258741258741</v>
      </c>
      <c r="K97" s="44">
        <f t="shared" si="2"/>
        <v>49.03776223776224</v>
      </c>
    </row>
    <row r="98" spans="1:11" ht="12.75">
      <c r="A98" s="28">
        <f>krpm7/krpmMax*vmax6</f>
        <v>185.60000000000002</v>
      </c>
      <c r="B98" s="75">
        <f t="shared" si="0"/>
        <v>0</v>
      </c>
      <c r="C98" s="78">
        <f>Cd*A*POWER(krpm7/krpmMax*vmax6mps3,2)</f>
        <v>505.01530864197554</v>
      </c>
      <c r="D98" s="77">
        <f t="shared" si="1"/>
        <v>505.01530864197554</v>
      </c>
      <c r="F98" s="70">
        <f t="shared" si="3"/>
        <v>1285.902000440641</v>
      </c>
      <c r="G98" s="72"/>
      <c r="I98" s="66">
        <f>Torque7</f>
        <v>78.04602258304944</v>
      </c>
      <c r="J98" s="67">
        <f>Power7</f>
        <v>49.03776223776224</v>
      </c>
      <c r="K98" s="44">
        <f t="shared" si="2"/>
        <v>49.03776223776224</v>
      </c>
    </row>
    <row r="99" spans="1:11" ht="12.75">
      <c r="A99" s="28">
        <f>krpm8/krpmMax*vmax6</f>
        <v>216.5333333333333</v>
      </c>
      <c r="B99" s="75">
        <f t="shared" si="0"/>
        <v>0</v>
      </c>
      <c r="C99" s="78">
        <f>Cd*A*POWER(krpm8/krpmMax*vmax6mps3,2)</f>
        <v>687.3819478737998</v>
      </c>
      <c r="D99" s="77">
        <f t="shared" si="1"/>
        <v>687.3819478737998</v>
      </c>
      <c r="F99" s="70">
        <f t="shared" si="3"/>
        <v>1102.2017146634066</v>
      </c>
      <c r="G99" s="72"/>
      <c r="I99" s="66">
        <f>Torque8</f>
        <v>79.70657625502919</v>
      </c>
      <c r="J99" s="67">
        <f>Power8</f>
        <v>58.427972027972025</v>
      </c>
      <c r="K99" s="44">
        <f t="shared" si="2"/>
        <v>49.03776223776224</v>
      </c>
    </row>
    <row r="100" spans="1:11" ht="12.75">
      <c r="A100" s="28">
        <f>krpm9/krpmMax*vmax6</f>
        <v>247.46666666666664</v>
      </c>
      <c r="B100" s="75">
        <f t="shared" si="0"/>
        <v>0</v>
      </c>
      <c r="C100" s="78">
        <f>Cd*A*POWER(krpm9/krpmMax*vmax6mps3,2)</f>
        <v>897.8049931412896</v>
      </c>
      <c r="D100" s="77">
        <f t="shared" si="1"/>
        <v>897.8049931412896</v>
      </c>
      <c r="F100" s="70">
        <f t="shared" si="3"/>
        <v>964.426500330481</v>
      </c>
      <c r="G100" s="72"/>
      <c r="I100" s="66">
        <f>Torque9</f>
        <v>82.19740676299885</v>
      </c>
      <c r="J100" s="67">
        <f>Power9</f>
        <v>68.86153846153846</v>
      </c>
      <c r="K100" s="44">
        <f t="shared" si="2"/>
        <v>49.03776223776224</v>
      </c>
    </row>
    <row r="101" spans="1:11" ht="12.75">
      <c r="A101" s="28">
        <f>krpm10/krpmMax*vmax6</f>
        <v>278.4</v>
      </c>
      <c r="B101" s="75">
        <f t="shared" si="0"/>
        <v>0</v>
      </c>
      <c r="C101" s="78">
        <f>Cd*A*POWER(krpm10/krpmMax*vmax6mps3,2)</f>
        <v>1136.2844444444447</v>
      </c>
      <c r="D101" s="77">
        <f t="shared" si="1"/>
        <v>1136.2844444444447</v>
      </c>
      <c r="F101" s="70">
        <f t="shared" si="3"/>
        <v>857.2680002937608</v>
      </c>
      <c r="G101" s="72"/>
      <c r="I101" s="66">
        <f>Torque10</f>
        <v>81.92064781766891</v>
      </c>
      <c r="J101" s="67">
        <f>Power10</f>
        <v>77.20839160839161</v>
      </c>
      <c r="K101" s="44">
        <f t="shared" si="2"/>
        <v>49.03776223776224</v>
      </c>
    </row>
    <row r="102" spans="1:11" ht="12.75">
      <c r="A102" s="28">
        <f>krpm11/krpmMax*vmax6</f>
        <v>309.3333333333333</v>
      </c>
      <c r="B102" s="75">
        <f t="shared" si="0"/>
        <v>0</v>
      </c>
      <c r="C102" s="78">
        <f>Cd*A*POWER(krpm11/krpmMax*vmax6mps3,2)</f>
        <v>1402.820301783265</v>
      </c>
      <c r="D102" s="77">
        <f t="shared" si="1"/>
        <v>1402.820301783265</v>
      </c>
      <c r="F102" s="70">
        <f t="shared" si="3"/>
        <v>771.5412002643847</v>
      </c>
      <c r="G102" s="72"/>
      <c r="I102" s="66">
        <f>Torque11</f>
        <v>75.72124744227774</v>
      </c>
      <c r="J102" s="67">
        <f>Power11</f>
        <v>79.2951048951049</v>
      </c>
      <c r="K102" s="44">
        <f t="shared" si="2"/>
        <v>49.03776223776224</v>
      </c>
    </row>
    <row r="103" spans="1:11" ht="12.75">
      <c r="A103" s="28">
        <f>krpmMax/krpmMax*vmax6</f>
        <v>337.17333333333335</v>
      </c>
      <c r="B103" s="55">
        <f t="shared" si="0"/>
        <v>0</v>
      </c>
      <c r="C103" s="79">
        <f>Cd*A*POWER(krpmMax/krpmMax*vmax6mps3,2)</f>
        <v>1666.6908005486973</v>
      </c>
      <c r="D103" s="80">
        <f t="shared" si="1"/>
        <v>1666.6908005486973</v>
      </c>
      <c r="F103" s="73">
        <f t="shared" si="3"/>
        <v>707.835963545307</v>
      </c>
      <c r="G103" s="74"/>
      <c r="I103" s="68">
        <f>TorqueRpmMax</f>
        <v>67.64090186780001</v>
      </c>
      <c r="J103" s="69">
        <f>PowerRpmMax</f>
        <v>77.20839160839161</v>
      </c>
      <c r="K103" s="45">
        <f t="shared" si="2"/>
        <v>49.03776223776224</v>
      </c>
    </row>
    <row r="104" spans="1:4" ht="12.75">
      <c r="A104" s="28"/>
      <c r="B104" s="8"/>
      <c r="C104" s="29"/>
      <c r="D104" s="27"/>
    </row>
    <row r="105" spans="1:3" s="4" customFormat="1" ht="12.75">
      <c r="A105" s="63" t="s">
        <v>78</v>
      </c>
      <c r="B105" s="59"/>
      <c r="C105" s="64"/>
    </row>
    <row r="106" spans="1:3" s="4" customFormat="1" ht="12.75">
      <c r="A106" s="65" t="s">
        <v>15</v>
      </c>
      <c r="B106" s="61" t="s">
        <v>5</v>
      </c>
      <c r="C106" s="62"/>
    </row>
    <row r="107" spans="1:3" ht="12.75">
      <c r="A107" s="81">
        <v>0</v>
      </c>
      <c r="B107" s="82">
        <f>Vmax_actual</f>
        <v>254.2</v>
      </c>
      <c r="C107" s="83">
        <v>0</v>
      </c>
    </row>
    <row r="108" spans="1:3" ht="12.75">
      <c r="A108" s="84">
        <f>ROUNDUP(MAX(C76:C87),-3)</f>
        <v>3000</v>
      </c>
      <c r="B108" s="56">
        <f>Vmax_actual</f>
        <v>254.2</v>
      </c>
      <c r="C108" s="74">
        <f>ROUNDUP(MAX(B55:B69),-0.5)</f>
        <v>80</v>
      </c>
    </row>
    <row r="109" ht="13.5" customHeight="1"/>
    <row r="110" spans="1:13" ht="12.75">
      <c r="A110" s="63" t="s">
        <v>17</v>
      </c>
      <c r="B110" s="59"/>
      <c r="C110" s="59"/>
      <c r="D110" s="59"/>
      <c r="E110" s="59"/>
      <c r="F110" s="58"/>
      <c r="G110" s="58"/>
      <c r="H110" s="58"/>
      <c r="I110" s="58"/>
      <c r="J110" s="58"/>
      <c r="K110" s="58"/>
      <c r="L110" s="58"/>
      <c r="M110" s="60"/>
    </row>
    <row r="111" spans="1:13" s="4" customFormat="1" ht="12.75">
      <c r="A111" s="50" t="s">
        <v>73</v>
      </c>
      <c r="B111" s="61" t="s">
        <v>53</v>
      </c>
      <c r="C111" s="51" t="s">
        <v>50</v>
      </c>
      <c r="D111" s="61" t="s">
        <v>94</v>
      </c>
      <c r="E111" s="51" t="s">
        <v>48</v>
      </c>
      <c r="F111" s="51" t="s">
        <v>95</v>
      </c>
      <c r="G111" s="61" t="s">
        <v>108</v>
      </c>
      <c r="H111" s="61" t="s">
        <v>49</v>
      </c>
      <c r="I111" s="51" t="s">
        <v>16</v>
      </c>
      <c r="J111" s="61" t="s">
        <v>52</v>
      </c>
      <c r="K111" s="61" t="s">
        <v>54</v>
      </c>
      <c r="L111" s="61" t="s">
        <v>55</v>
      </c>
      <c r="M111" s="62"/>
    </row>
    <row r="112" spans="1:13" ht="12.75">
      <c r="A112" s="85">
        <f>B76</f>
        <v>0</v>
      </c>
      <c r="B112" s="67">
        <f aca="true" t="shared" si="4" ref="B112:B138">A112*1000/3600</f>
        <v>0</v>
      </c>
      <c r="C112" s="86">
        <f>C113</f>
        <v>2410.2202626680164</v>
      </c>
      <c r="D112" s="24">
        <v>0</v>
      </c>
      <c r="E112" s="78">
        <f aca="true" t="shared" si="5" ref="E112:E134">M_tot*9.81*SIN(RADIANS(incline))+Cd*A*POWER(A112*1000/3600,2)</f>
        <v>0</v>
      </c>
      <c r="F112" s="86">
        <f aca="true" t="shared" si="6" ref="F112:F134">C112-E112</f>
        <v>2410.2202626680164</v>
      </c>
      <c r="G112" s="24">
        <v>0</v>
      </c>
      <c r="H112" s="87">
        <f aca="true" t="shared" si="7" ref="H112:H134">F112/M_tot</f>
        <v>7.7250649444487705</v>
      </c>
      <c r="I112" s="88">
        <v>0</v>
      </c>
      <c r="J112" s="89">
        <f>I112</f>
        <v>0</v>
      </c>
      <c r="K112" s="90">
        <v>0</v>
      </c>
      <c r="L112" s="67">
        <f>K112</f>
        <v>0</v>
      </c>
      <c r="M112" s="72"/>
    </row>
    <row r="113" spans="1:13" ht="12.75">
      <c r="A113" s="92">
        <f aca="true" t="shared" si="8" ref="A113:A120">B80</f>
        <v>42.996138996138995</v>
      </c>
      <c r="B113" s="91">
        <f t="shared" si="4"/>
        <v>11.943371943371943</v>
      </c>
      <c r="C113" s="78">
        <f>C114</f>
        <v>2410.2202626680164</v>
      </c>
      <c r="D113" s="91">
        <f aca="true" t="shared" si="9" ref="D113:D134">C113*B113/1000</f>
        <v>28.786157062495743</v>
      </c>
      <c r="E113" s="78">
        <f t="shared" si="5"/>
        <v>27.10238534176758</v>
      </c>
      <c r="F113" s="78">
        <f t="shared" si="6"/>
        <v>2383.1178773262486</v>
      </c>
      <c r="G113" s="91">
        <f aca="true" t="shared" si="10" ref="G113:G134">F113*B113/1000</f>
        <v>28.46246319380642</v>
      </c>
      <c r="H113" s="87">
        <f t="shared" si="7"/>
        <v>7.638198324763617</v>
      </c>
      <c r="I113" s="87">
        <f>(A113-A112)*1000/3600/H113+A112</f>
        <v>1.5636373180636889</v>
      </c>
      <c r="J113" s="87">
        <f>I113-I112</f>
        <v>1.5636373180636889</v>
      </c>
      <c r="K113" s="91">
        <f>(B112+B113)/2*J113</f>
        <v>9.337551037085607</v>
      </c>
      <c r="L113" s="91">
        <f aca="true" t="shared" si="11" ref="L113:L119">K113+L112</f>
        <v>9.337551037085607</v>
      </c>
      <c r="M113" s="72"/>
    </row>
    <row r="114" spans="1:13" ht="12.75">
      <c r="A114" s="92">
        <f t="shared" si="8"/>
        <v>53.745173745173744</v>
      </c>
      <c r="B114" s="91">
        <f t="shared" si="4"/>
        <v>14.929214929214929</v>
      </c>
      <c r="C114" s="78">
        <f>C115</f>
        <v>2410.2202626680164</v>
      </c>
      <c r="D114" s="91">
        <f t="shared" si="9"/>
        <v>35.98269632811968</v>
      </c>
      <c r="E114" s="78">
        <f t="shared" si="5"/>
        <v>42.347477096511845</v>
      </c>
      <c r="F114" s="78">
        <f t="shared" si="6"/>
        <v>2367.8727855715047</v>
      </c>
      <c r="G114" s="91">
        <f t="shared" si="10"/>
        <v>35.35048174083585</v>
      </c>
      <c r="H114" s="87">
        <f t="shared" si="7"/>
        <v>7.58933585119072</v>
      </c>
      <c r="I114" s="87">
        <f aca="true" t="shared" si="12" ref="I114:I132">(A114-A113)*1000/3600/H114+I113</f>
        <v>1.957063441823191</v>
      </c>
      <c r="J114" s="87">
        <f aca="true" t="shared" si="13" ref="J114:J134">I114-I113</f>
        <v>0.39342612375950203</v>
      </c>
      <c r="K114" s="91">
        <f aca="true" t="shared" si="14" ref="K114:K119">(B113+B114)/2*J114</f>
        <v>5.286188844336166</v>
      </c>
      <c r="L114" s="91">
        <f t="shared" si="11"/>
        <v>14.623739881421773</v>
      </c>
      <c r="M114" s="72"/>
    </row>
    <row r="115" spans="1:13" ht="12.75">
      <c r="A115" s="92">
        <f t="shared" si="8"/>
        <v>64.49420849420851</v>
      </c>
      <c r="B115" s="91">
        <f t="shared" si="4"/>
        <v>17.91505791505792</v>
      </c>
      <c r="C115" s="78">
        <f>C116</f>
        <v>2410.2202626680164</v>
      </c>
      <c r="D115" s="91">
        <f t="shared" si="9"/>
        <v>43.17923559374362</v>
      </c>
      <c r="E115" s="78">
        <f t="shared" si="5"/>
        <v>60.980367018977084</v>
      </c>
      <c r="F115" s="78">
        <f t="shared" si="6"/>
        <v>2349.239895649039</v>
      </c>
      <c r="G115" s="91">
        <f t="shared" si="10"/>
        <v>42.086768786917155</v>
      </c>
      <c r="H115" s="87">
        <f t="shared" si="7"/>
        <v>7.529615050157177</v>
      </c>
      <c r="I115" s="87">
        <f t="shared" si="12"/>
        <v>2.353610007079626</v>
      </c>
      <c r="J115" s="87">
        <f t="shared" si="13"/>
        <v>0.39654656525643506</v>
      </c>
      <c r="K115" s="91">
        <f t="shared" si="14"/>
        <v>6.512141792370801</v>
      </c>
      <c r="L115" s="91">
        <f t="shared" si="11"/>
        <v>21.135881673792575</v>
      </c>
      <c r="M115" s="72"/>
    </row>
    <row r="116" spans="1:13" ht="12.75">
      <c r="A116" s="92">
        <f t="shared" si="8"/>
        <v>75.24324324324324</v>
      </c>
      <c r="B116" s="91">
        <f t="shared" si="4"/>
        <v>20.9009009009009</v>
      </c>
      <c r="C116" s="78">
        <f>C117</f>
        <v>2410.2202626680164</v>
      </c>
      <c r="D116" s="91">
        <f t="shared" si="9"/>
        <v>50.37577485936755</v>
      </c>
      <c r="E116" s="78">
        <f t="shared" si="5"/>
        <v>83.00105510916322</v>
      </c>
      <c r="F116" s="78">
        <f t="shared" si="6"/>
        <v>2327.219207558853</v>
      </c>
      <c r="G116" s="91">
        <f t="shared" si="10"/>
        <v>48.64097803186071</v>
      </c>
      <c r="H116" s="87">
        <f t="shared" si="7"/>
        <v>7.459035921662991</v>
      </c>
      <c r="I116" s="87">
        <f t="shared" si="12"/>
        <v>2.753908787941012</v>
      </c>
      <c r="J116" s="87">
        <f t="shared" si="13"/>
        <v>0.40029878086138604</v>
      </c>
      <c r="K116" s="91">
        <f t="shared" si="14"/>
        <v>7.768990495997043</v>
      </c>
      <c r="L116" s="91">
        <f t="shared" si="11"/>
        <v>28.90487216978962</v>
      </c>
      <c r="M116" s="72"/>
    </row>
    <row r="117" spans="1:13" s="12" customFormat="1" ht="12.75">
      <c r="A117" s="92">
        <f t="shared" si="8"/>
        <v>85.99227799227799</v>
      </c>
      <c r="B117" s="91">
        <f t="shared" si="4"/>
        <v>23.886743886743886</v>
      </c>
      <c r="C117" s="78">
        <f>C84</f>
        <v>2410.2202626680164</v>
      </c>
      <c r="D117" s="91">
        <f t="shared" si="9"/>
        <v>57.572314124991486</v>
      </c>
      <c r="E117" s="78">
        <f t="shared" si="5"/>
        <v>108.40954136707032</v>
      </c>
      <c r="F117" s="78">
        <f t="shared" si="6"/>
        <v>2301.810721300946</v>
      </c>
      <c r="G117" s="91">
        <f t="shared" si="10"/>
        <v>54.98276317547691</v>
      </c>
      <c r="H117" s="87">
        <f t="shared" si="7"/>
        <v>7.377598465708161</v>
      </c>
      <c r="I117" s="87">
        <f t="shared" si="12"/>
        <v>3.1586262579580495</v>
      </c>
      <c r="J117" s="87">
        <f t="shared" si="13"/>
        <v>0.4047174700170375</v>
      </c>
      <c r="K117" s="91">
        <f t="shared" si="14"/>
        <v>9.063171143238678</v>
      </c>
      <c r="L117" s="91">
        <f t="shared" si="11"/>
        <v>37.968043313028296</v>
      </c>
      <c r="M117" s="141"/>
    </row>
    <row r="118" spans="1:13" ht="12.75">
      <c r="A118" s="92">
        <f t="shared" si="8"/>
        <v>96.74131274131274</v>
      </c>
      <c r="B118" s="91">
        <f t="shared" si="4"/>
        <v>26.872586872586872</v>
      </c>
      <c r="C118" s="78">
        <f>C85</f>
        <v>2402.105042928394</v>
      </c>
      <c r="D118" s="91">
        <f t="shared" si="9"/>
        <v>64.5507764431723</v>
      </c>
      <c r="E118" s="78">
        <f t="shared" si="5"/>
        <v>137.2058257926984</v>
      </c>
      <c r="F118" s="78">
        <f t="shared" si="6"/>
        <v>2264.899217135696</v>
      </c>
      <c r="G118" s="91">
        <f t="shared" si="10"/>
        <v>60.86370097013298</v>
      </c>
      <c r="H118" s="87">
        <f t="shared" si="7"/>
        <v>7.25929236261441</v>
      </c>
      <c r="I118" s="87">
        <f t="shared" si="12"/>
        <v>3.569939487498187</v>
      </c>
      <c r="J118" s="87">
        <f t="shared" si="13"/>
        <v>0.4113132295401374</v>
      </c>
      <c r="K118" s="91">
        <f t="shared" si="14"/>
        <v>10.438992131958184</v>
      </c>
      <c r="L118" s="91">
        <f t="shared" si="11"/>
        <v>48.40703544498648</v>
      </c>
      <c r="M118" s="146"/>
    </row>
    <row r="119" spans="1:13" ht="12.75">
      <c r="A119" s="92">
        <f t="shared" si="8"/>
        <v>107.49034749034749</v>
      </c>
      <c r="B119" s="91">
        <f t="shared" si="4"/>
        <v>29.858429858429858</v>
      </c>
      <c r="C119" s="78">
        <f>C86</f>
        <v>2220.3241207608394</v>
      </c>
      <c r="D119" s="91">
        <f t="shared" si="9"/>
        <v>66.29539202271746</v>
      </c>
      <c r="E119" s="78">
        <f t="shared" si="5"/>
        <v>169.38990838604738</v>
      </c>
      <c r="F119" s="78">
        <f t="shared" si="6"/>
        <v>2050.934212374792</v>
      </c>
      <c r="G119" s="91">
        <f t="shared" si="10"/>
        <v>61.23767532444681</v>
      </c>
      <c r="H119" s="87">
        <f t="shared" si="7"/>
        <v>6.573507090944846</v>
      </c>
      <c r="I119" s="87">
        <f t="shared" si="12"/>
        <v>4.024163229031235</v>
      </c>
      <c r="J119" s="87">
        <f t="shared" si="13"/>
        <v>0.4542237415330477</v>
      </c>
      <c r="K119" s="91">
        <f t="shared" si="14"/>
        <v>12.884287340268173</v>
      </c>
      <c r="L119" s="91">
        <f t="shared" si="11"/>
        <v>61.29132278525465</v>
      </c>
      <c r="M119" s="146"/>
    </row>
    <row r="120" spans="1:13" ht="12.75">
      <c r="A120" s="93">
        <f t="shared" si="8"/>
        <v>117.16447876447877</v>
      </c>
      <c r="B120" s="94">
        <f t="shared" si="4"/>
        <v>32.54568854568855</v>
      </c>
      <c r="C120" s="95">
        <f>C87</f>
        <v>1983.3894849867474</v>
      </c>
      <c r="D120" s="94">
        <f t="shared" si="9"/>
        <v>64.5507764431723</v>
      </c>
      <c r="E120" s="95">
        <f t="shared" si="5"/>
        <v>201.25215015346294</v>
      </c>
      <c r="F120" s="95">
        <f t="shared" si="6"/>
        <v>1782.1373348332845</v>
      </c>
      <c r="G120" s="94">
        <f t="shared" si="10"/>
        <v>58.000886645127544</v>
      </c>
      <c r="H120" s="96">
        <f t="shared" si="7"/>
        <v>5.711978637286168</v>
      </c>
      <c r="I120" s="96">
        <f t="shared" si="12"/>
        <v>4.494623442190477</v>
      </c>
      <c r="J120" s="96">
        <f t="shared" si="13"/>
        <v>0.47046021315924236</v>
      </c>
      <c r="K120" s="94">
        <f aca="true" t="shared" si="15" ref="K120:K138">(B119+B120)/2*J120</f>
        <v>14.679327423208072</v>
      </c>
      <c r="L120" s="94">
        <f aca="true" t="shared" si="16" ref="L120:L138">K120+L119</f>
        <v>75.97065020846273</v>
      </c>
      <c r="M120" s="148"/>
    </row>
    <row r="121" spans="1:13" ht="12.75">
      <c r="A121" s="97">
        <f>A120</f>
        <v>117.16447876447877</v>
      </c>
      <c r="B121" s="98">
        <f t="shared" si="4"/>
        <v>32.54568854568855</v>
      </c>
      <c r="C121" s="99">
        <f>C122</f>
        <v>1724.3229224174997</v>
      </c>
      <c r="D121" s="98">
        <f t="shared" si="9"/>
        <v>56.119276785191424</v>
      </c>
      <c r="E121" s="99">
        <f t="shared" si="5"/>
        <v>201.25215015346294</v>
      </c>
      <c r="F121" s="99">
        <f t="shared" si="6"/>
        <v>1523.0707722640368</v>
      </c>
      <c r="G121" s="98">
        <f t="shared" si="10"/>
        <v>49.56938698714667</v>
      </c>
      <c r="H121" s="100">
        <f t="shared" si="7"/>
        <v>4.881637090589861</v>
      </c>
      <c r="I121" s="100">
        <f>(A121-A120)*1000/3600/H121+I120+Gearchange</f>
        <v>4.694623442190477</v>
      </c>
      <c r="J121" s="100">
        <f t="shared" si="13"/>
        <v>0.20000000000000018</v>
      </c>
      <c r="K121" s="98">
        <f t="shared" si="15"/>
        <v>6.509137709137716</v>
      </c>
      <c r="L121" s="98">
        <f t="shared" si="16"/>
        <v>82.47978791760045</v>
      </c>
      <c r="M121" s="142" t="s">
        <v>109</v>
      </c>
    </row>
    <row r="122" spans="1:13" s="12" customFormat="1" ht="12.75">
      <c r="A122" s="92">
        <f>D84</f>
        <v>120.1980952380952</v>
      </c>
      <c r="B122" s="91">
        <f t="shared" si="4"/>
        <v>33.38835978835978</v>
      </c>
      <c r="C122" s="78">
        <f>E84</f>
        <v>1724.3229224174997</v>
      </c>
      <c r="D122" s="91">
        <f t="shared" si="9"/>
        <v>57.57231412499147</v>
      </c>
      <c r="E122" s="78">
        <f t="shared" si="5"/>
        <v>211.80868817782246</v>
      </c>
      <c r="F122" s="78">
        <f t="shared" si="6"/>
        <v>1512.5142342396773</v>
      </c>
      <c r="G122" s="91">
        <f t="shared" si="10"/>
        <v>50.50036943780982</v>
      </c>
      <c r="H122" s="87">
        <f t="shared" si="7"/>
        <v>4.847802032819478</v>
      </c>
      <c r="I122" s="87">
        <f t="shared" si="12"/>
        <v>4.86844886595291</v>
      </c>
      <c r="J122" s="87">
        <f t="shared" si="13"/>
        <v>0.17382542376243304</v>
      </c>
      <c r="K122" s="91">
        <f t="shared" si="15"/>
        <v>5.7305069460193465</v>
      </c>
      <c r="L122" s="91">
        <f t="shared" si="16"/>
        <v>88.2102948636198</v>
      </c>
      <c r="M122" s="146"/>
    </row>
    <row r="123" spans="1:13" ht="12.75">
      <c r="A123" s="92">
        <f>D85</f>
        <v>135.22285714285712</v>
      </c>
      <c r="B123" s="91">
        <f t="shared" si="4"/>
        <v>37.561904761904756</v>
      </c>
      <c r="C123" s="78">
        <f>E85</f>
        <v>1718.5171213319195</v>
      </c>
      <c r="D123" s="91">
        <f t="shared" si="9"/>
        <v>64.55077644317228</v>
      </c>
      <c r="E123" s="78">
        <f t="shared" si="5"/>
        <v>268.0703709750566</v>
      </c>
      <c r="F123" s="78">
        <f t="shared" si="6"/>
        <v>1450.4467503568628</v>
      </c>
      <c r="G123" s="91">
        <f t="shared" si="10"/>
        <v>54.48154269911873</v>
      </c>
      <c r="H123" s="87">
        <f t="shared" si="7"/>
        <v>4.64886778960533</v>
      </c>
      <c r="I123" s="87">
        <f t="shared" si="12"/>
        <v>5.766204010308025</v>
      </c>
      <c r="J123" s="87">
        <f t="shared" si="13"/>
        <v>0.8977551443551146</v>
      </c>
      <c r="K123" s="91">
        <f t="shared" si="15"/>
        <v>31.847982496678153</v>
      </c>
      <c r="L123" s="91">
        <f t="shared" si="16"/>
        <v>120.05827736029795</v>
      </c>
      <c r="M123" s="146"/>
    </row>
    <row r="124" spans="1:13" ht="12.75">
      <c r="A124" s="92">
        <f>D86</f>
        <v>150.24761904761903</v>
      </c>
      <c r="B124" s="91">
        <f t="shared" si="4"/>
        <v>41.73544973544973</v>
      </c>
      <c r="C124" s="78">
        <f>E86</f>
        <v>1588.4671770149096</v>
      </c>
      <c r="D124" s="91">
        <f t="shared" si="9"/>
        <v>66.29539202271748</v>
      </c>
      <c r="E124" s="78">
        <f t="shared" si="5"/>
        <v>330.9510752778476</v>
      </c>
      <c r="F124" s="78">
        <f t="shared" si="6"/>
        <v>1257.516101737062</v>
      </c>
      <c r="G124" s="91">
        <f t="shared" si="10"/>
        <v>52.48300005556583</v>
      </c>
      <c r="H124" s="87">
        <f t="shared" si="7"/>
        <v>4.030500326080327</v>
      </c>
      <c r="I124" s="87">
        <f t="shared" si="12"/>
        <v>6.801694553886211</v>
      </c>
      <c r="J124" s="87">
        <f t="shared" si="13"/>
        <v>1.0354905435781863</v>
      </c>
      <c r="K124" s="91">
        <f t="shared" si="15"/>
        <v>41.05583035638887</v>
      </c>
      <c r="L124" s="91">
        <f t="shared" si="16"/>
        <v>161.11410771668682</v>
      </c>
      <c r="M124" s="146"/>
    </row>
    <row r="125" spans="1:13" ht="12.75">
      <c r="A125" s="93">
        <f>D87</f>
        <v>163.76990476190474</v>
      </c>
      <c r="B125" s="94">
        <f t="shared" si="4"/>
        <v>45.4916402116402</v>
      </c>
      <c r="C125" s="95">
        <f>E87</f>
        <v>1418.959091008007</v>
      </c>
      <c r="D125" s="94">
        <f t="shared" si="9"/>
        <v>64.55077644317228</v>
      </c>
      <c r="E125" s="95">
        <f t="shared" si="5"/>
        <v>393.2029725376108</v>
      </c>
      <c r="F125" s="95">
        <f t="shared" si="6"/>
        <v>1025.7561184703961</v>
      </c>
      <c r="G125" s="94">
        <f t="shared" si="10"/>
        <v>46.66332828634384</v>
      </c>
      <c r="H125" s="96">
        <f t="shared" si="7"/>
        <v>3.287679866892295</v>
      </c>
      <c r="I125" s="96">
        <f t="shared" si="12"/>
        <v>7.944199489970832</v>
      </c>
      <c r="J125" s="96">
        <f t="shared" si="13"/>
        <v>1.1425049360846211</v>
      </c>
      <c r="K125" s="94">
        <f t="shared" si="15"/>
        <v>49.82869041242373</v>
      </c>
      <c r="L125" s="94">
        <f t="shared" si="16"/>
        <v>210.94279812911054</v>
      </c>
      <c r="M125" s="141"/>
    </row>
    <row r="126" spans="1:13" s="12" customFormat="1" ht="12.75">
      <c r="A126" s="97">
        <f>A125</f>
        <v>163.76990476190474</v>
      </c>
      <c r="B126" s="98">
        <f t="shared" si="4"/>
        <v>45.4916402116402</v>
      </c>
      <c r="C126" s="99">
        <f>C127</f>
        <v>1314.6655978189185</v>
      </c>
      <c r="D126" s="98">
        <f t="shared" si="9"/>
        <v>59.80629437459912</v>
      </c>
      <c r="E126" s="99">
        <f t="shared" si="5"/>
        <v>393.2029725376108</v>
      </c>
      <c r="F126" s="99">
        <f t="shared" si="6"/>
        <v>921.4626252813077</v>
      </c>
      <c r="G126" s="98">
        <f t="shared" si="10"/>
        <v>41.91884621777069</v>
      </c>
      <c r="H126" s="100">
        <f t="shared" si="7"/>
        <v>2.9534058502606015</v>
      </c>
      <c r="I126" s="100">
        <f>(A126-A125)*1000/3600/H126+I125+Gearchange</f>
        <v>8.144199489970832</v>
      </c>
      <c r="J126" s="100">
        <f t="shared" si="13"/>
        <v>0.20000000000000018</v>
      </c>
      <c r="K126" s="98">
        <f t="shared" si="15"/>
        <v>9.098328042328049</v>
      </c>
      <c r="L126" s="98">
        <f t="shared" si="16"/>
        <v>220.04112617143858</v>
      </c>
      <c r="M126" s="142" t="s">
        <v>109</v>
      </c>
    </row>
    <row r="127" spans="1:16" ht="12.75">
      <c r="A127" s="92">
        <f>F85</f>
        <v>176.76190476190476</v>
      </c>
      <c r="B127" s="91">
        <f t="shared" si="4"/>
        <v>49.1005291005291</v>
      </c>
      <c r="C127" s="78">
        <f>G85</f>
        <v>1314.6655978189185</v>
      </c>
      <c r="D127" s="91">
        <f t="shared" si="9"/>
        <v>64.5507764431723</v>
      </c>
      <c r="E127" s="78">
        <f t="shared" si="5"/>
        <v>458.06377201086195</v>
      </c>
      <c r="F127" s="78">
        <f t="shared" si="6"/>
        <v>856.6018258080566</v>
      </c>
      <c r="G127" s="91">
        <f t="shared" si="10"/>
        <v>42.05960287565484</v>
      </c>
      <c r="H127" s="87">
        <f t="shared" si="7"/>
        <v>2.7455186724617198</v>
      </c>
      <c r="I127" s="87">
        <f t="shared" si="12"/>
        <v>9.458664740230102</v>
      </c>
      <c r="J127" s="87">
        <f t="shared" si="13"/>
        <v>1.3144652502592695</v>
      </c>
      <c r="K127" s="91">
        <f t="shared" si="15"/>
        <v>62.16905975374391</v>
      </c>
      <c r="L127" s="91">
        <f t="shared" si="16"/>
        <v>282.2101859251825</v>
      </c>
      <c r="M127" s="62"/>
      <c r="N127" s="4"/>
      <c r="P127" s="4"/>
    </row>
    <row r="128" spans="1:16" ht="12.75">
      <c r="A128" s="92">
        <f>F86</f>
        <v>196.40211640211638</v>
      </c>
      <c r="B128" s="91">
        <f t="shared" si="4"/>
        <v>54.556143445032326</v>
      </c>
      <c r="C128" s="78">
        <f>G86</f>
        <v>1215.1773904164056</v>
      </c>
      <c r="D128" s="91">
        <f>C128*B128/1000</f>
        <v>66.29539202271748</v>
      </c>
      <c r="E128" s="78">
        <f>M_tot*9.81*SIN(RADIANS(incline))+Cd*A*POWER(A128*1000/3600,2)</f>
        <v>565.5108296430393</v>
      </c>
      <c r="F128" s="78">
        <f>C128-E128</f>
        <v>649.6665607733663</v>
      </c>
      <c r="G128" s="91">
        <f>F128*B128/1000</f>
        <v>35.44330208099259</v>
      </c>
      <c r="H128" s="87">
        <f>F128/M_tot</f>
        <v>2.0822646178633537</v>
      </c>
      <c r="I128" s="87">
        <f>(A128-A127)*1000/3600/H128+I127</f>
        <v>12.078703662132988</v>
      </c>
      <c r="J128" s="87">
        <f>I128-I127</f>
        <v>2.6200389219028857</v>
      </c>
      <c r="K128" s="91">
        <f>(B127+B128)/2*J128</f>
        <v>135.79225829215662</v>
      </c>
      <c r="L128" s="91">
        <f>K128+L127</f>
        <v>418.0024442173391</v>
      </c>
      <c r="M128" s="62"/>
      <c r="N128" s="4"/>
      <c r="P128" s="4"/>
    </row>
    <row r="129" spans="1:13" s="12" customFormat="1" ht="12.75">
      <c r="A129" s="93">
        <f>F87</f>
        <v>214.07830687830688</v>
      </c>
      <c r="B129" s="94">
        <f t="shared" si="4"/>
        <v>59.466196355085245</v>
      </c>
      <c r="C129" s="95">
        <f>G87</f>
        <v>1085.5037046211253</v>
      </c>
      <c r="D129" s="94">
        <f>C129*B129/1000</f>
        <v>64.5507764431723</v>
      </c>
      <c r="E129" s="95">
        <f>M_tot*9.81*SIN(RADIANS(incline))+Cd*A*POWER(A129*1000/3600,2)</f>
        <v>671.8834166988952</v>
      </c>
      <c r="F129" s="95">
        <f>C129-E129</f>
        <v>413.6202879222301</v>
      </c>
      <c r="G129" s="94">
        <f>F129*B129/1000</f>
        <v>24.596425258030227</v>
      </c>
      <c r="H129" s="96">
        <f>F129/M_tot</f>
        <v>1.3257060510327887</v>
      </c>
      <c r="I129" s="96">
        <f>(A129-A128)*1000/3600/H129+I128</f>
        <v>15.782430371555298</v>
      </c>
      <c r="J129" s="96">
        <f>I129-I128</f>
        <v>3.7037267094223107</v>
      </c>
      <c r="K129" s="94">
        <f>(B128+B129)/2*J129</f>
        <v>211.15379269426103</v>
      </c>
      <c r="L129" s="94">
        <f>K129+L128</f>
        <v>629.1562369116001</v>
      </c>
      <c r="M129" s="149"/>
    </row>
    <row r="130" spans="1:13" ht="12.75">
      <c r="A130" s="97">
        <f>A129</f>
        <v>214.07830687830688</v>
      </c>
      <c r="B130" s="98">
        <f t="shared" si="4"/>
        <v>59.466196355085245</v>
      </c>
      <c r="C130" s="99">
        <f>G87</f>
        <v>1085.5037046211253</v>
      </c>
      <c r="D130" s="98">
        <f t="shared" si="9"/>
        <v>64.5507764431723</v>
      </c>
      <c r="E130" s="99">
        <f t="shared" si="5"/>
        <v>671.8834166988952</v>
      </c>
      <c r="F130" s="99">
        <f t="shared" si="6"/>
        <v>413.6202879222301</v>
      </c>
      <c r="G130" s="98">
        <f t="shared" si="10"/>
        <v>24.596425258030227</v>
      </c>
      <c r="H130" s="100">
        <f t="shared" si="7"/>
        <v>1.3257060510327887</v>
      </c>
      <c r="I130" s="100">
        <f>(A130-A129)*1000/3600/H130+I129+Gearchange</f>
        <v>15.982430371555298</v>
      </c>
      <c r="J130" s="100">
        <f t="shared" si="13"/>
        <v>0.1999999999999993</v>
      </c>
      <c r="K130" s="98">
        <f t="shared" si="15"/>
        <v>11.893239271017007</v>
      </c>
      <c r="L130" s="98">
        <f t="shared" si="16"/>
        <v>641.0494761826171</v>
      </c>
      <c r="M130" s="142" t="s">
        <v>109</v>
      </c>
    </row>
    <row r="131" spans="1:13" ht="12.75">
      <c r="A131" s="92">
        <f>H85</f>
        <v>218.74285714285713</v>
      </c>
      <c r="B131" s="91">
        <f t="shared" si="4"/>
        <v>60.76190476190476</v>
      </c>
      <c r="C131" s="78">
        <f>C132</f>
        <v>981.9615276092167</v>
      </c>
      <c r="D131" s="91">
        <f t="shared" si="9"/>
        <v>59.665852820445735</v>
      </c>
      <c r="E131" s="78">
        <f t="shared" si="5"/>
        <v>701.481723356009</v>
      </c>
      <c r="F131" s="78">
        <f t="shared" si="6"/>
        <v>280.4798042532077</v>
      </c>
      <c r="G131" s="91">
        <f t="shared" si="10"/>
        <v>17.042487153671097</v>
      </c>
      <c r="H131" s="87">
        <f t="shared" si="7"/>
        <v>0.898973731580794</v>
      </c>
      <c r="I131" s="87">
        <f>(A131-A130)*1000/3600/H131+I130</f>
        <v>17.42374991327437</v>
      </c>
      <c r="J131" s="87">
        <f t="shared" si="13"/>
        <v>1.4413195417190732</v>
      </c>
      <c r="K131" s="91">
        <f t="shared" si="15"/>
        <v>86.64355580184721</v>
      </c>
      <c r="L131" s="91">
        <f t="shared" si="16"/>
        <v>727.6930319844644</v>
      </c>
      <c r="M131" s="146"/>
    </row>
    <row r="132" spans="1:13" s="12" customFormat="1" ht="12.75">
      <c r="A132" s="93">
        <f>H86</f>
        <v>243.04761904761907</v>
      </c>
      <c r="B132" s="94">
        <f t="shared" si="4"/>
        <v>67.51322751322752</v>
      </c>
      <c r="C132" s="95">
        <f>I86</f>
        <v>981.9615276092167</v>
      </c>
      <c r="D132" s="94">
        <f t="shared" si="9"/>
        <v>66.2953920227175</v>
      </c>
      <c r="E132" s="95">
        <f t="shared" si="5"/>
        <v>866.0268189580361</v>
      </c>
      <c r="F132" s="95">
        <f t="shared" si="6"/>
        <v>115.93470865118059</v>
      </c>
      <c r="G132" s="94">
        <f t="shared" si="10"/>
        <v>7.827126361846902</v>
      </c>
      <c r="H132" s="96">
        <f t="shared" si="7"/>
        <v>0.3715856046512198</v>
      </c>
      <c r="I132" s="96">
        <f t="shared" si="12"/>
        <v>35.5927065865549</v>
      </c>
      <c r="J132" s="96">
        <f t="shared" si="13"/>
        <v>18.168956673280526</v>
      </c>
      <c r="K132" s="94">
        <f t="shared" si="15"/>
        <v>1165.3126602831035</v>
      </c>
      <c r="L132" s="94">
        <f t="shared" si="16"/>
        <v>1893.0056922675678</v>
      </c>
      <c r="M132" s="141"/>
    </row>
    <row r="133" spans="1:13" ht="12.75">
      <c r="A133" s="97">
        <f>A132</f>
        <v>243.04761904761907</v>
      </c>
      <c r="B133" s="98">
        <f t="shared" si="4"/>
        <v>67.51322751322752</v>
      </c>
      <c r="C133" s="99">
        <f>I87</f>
        <v>877.1747108049497</v>
      </c>
      <c r="D133" s="98">
        <f t="shared" si="9"/>
        <v>59.22089581942412</v>
      </c>
      <c r="E133" s="99">
        <f t="shared" si="5"/>
        <v>866.0268189580361</v>
      </c>
      <c r="F133" s="99">
        <f t="shared" si="6"/>
        <v>11.14789184691358</v>
      </c>
      <c r="G133" s="98">
        <f t="shared" si="10"/>
        <v>0.7526301585535307</v>
      </c>
      <c r="H133" s="100">
        <f t="shared" si="7"/>
        <v>0.035730422586261475</v>
      </c>
      <c r="I133" s="100">
        <f>(A133-A132)*1000/3600/H133+I132+Gearchange</f>
        <v>35.7927065865549</v>
      </c>
      <c r="J133" s="100">
        <f t="shared" si="13"/>
        <v>0.20000000000000284</v>
      </c>
      <c r="K133" s="98">
        <f t="shared" si="15"/>
        <v>13.502645502645695</v>
      </c>
      <c r="L133" s="98">
        <f t="shared" si="16"/>
        <v>1906.5083377702135</v>
      </c>
      <c r="M133" s="142" t="s">
        <v>109</v>
      </c>
    </row>
    <row r="134" spans="1:13" ht="12.75">
      <c r="A134" s="93">
        <f>J85</f>
        <v>249.00372670807454</v>
      </c>
      <c r="B134" s="94">
        <f t="shared" si="4"/>
        <v>69.16770186335404</v>
      </c>
      <c r="C134" s="95">
        <f>C135</f>
        <v>862.6259252955966</v>
      </c>
      <c r="D134" s="94">
        <f t="shared" si="9"/>
        <v>59.66585282044574</v>
      </c>
      <c r="E134" s="95">
        <f t="shared" si="5"/>
        <v>908.9924864009877</v>
      </c>
      <c r="F134" s="95">
        <f t="shared" si="6"/>
        <v>-46.36656110539104</v>
      </c>
      <c r="G134" s="94">
        <f t="shared" si="10"/>
        <v>-3.207068474966675</v>
      </c>
      <c r="H134" s="96">
        <f t="shared" si="7"/>
        <v>-0.14861077277368923</v>
      </c>
      <c r="I134" s="96">
        <f>(A134-A133)*1000/3600/H134+I133</f>
        <v>24.65976972573914</v>
      </c>
      <c r="J134" s="96">
        <f t="shared" si="13"/>
        <v>-11.13293686081576</v>
      </c>
      <c r="K134" s="94">
        <f t="shared" si="15"/>
        <v>-760.8300784135503</v>
      </c>
      <c r="L134" s="94">
        <f t="shared" si="16"/>
        <v>1145.6782593566631</v>
      </c>
      <c r="M134" s="141"/>
    </row>
    <row r="135" spans="1:13" ht="12.75">
      <c r="A135" s="97">
        <f>A134</f>
        <v>249.00372670807454</v>
      </c>
      <c r="B135" s="98">
        <f t="shared" si="4"/>
        <v>69.16770186335404</v>
      </c>
      <c r="C135" s="99">
        <f>K86</f>
        <v>862.6259252955966</v>
      </c>
      <c r="D135" s="98">
        <f>C135*B135/1000</f>
        <v>59.66585282044574</v>
      </c>
      <c r="E135" s="99">
        <f>M_tot*9.81*SIN(RADIANS(incline))+Cd*A*POWER(A135*1000/3600,2)</f>
        <v>908.9924864009877</v>
      </c>
      <c r="F135" s="99">
        <f>C135-E135</f>
        <v>-46.36656110539104</v>
      </c>
      <c r="G135" s="98">
        <f>F135*B135/1000</f>
        <v>-3.207068474966675</v>
      </c>
      <c r="H135" s="100">
        <f>F135/M_tot</f>
        <v>-0.14861077277368923</v>
      </c>
      <c r="I135" s="100">
        <f>(A135-A134)*1000/3600/H135+I134+Gearchange</f>
        <v>24.859769725739138</v>
      </c>
      <c r="J135" s="100">
        <f>I135-I134</f>
        <v>0.1999999999999993</v>
      </c>
      <c r="K135" s="98">
        <f t="shared" si="15"/>
        <v>13.83354037267076</v>
      </c>
      <c r="L135" s="98">
        <f t="shared" si="16"/>
        <v>1159.511799729334</v>
      </c>
      <c r="M135" s="142" t="s">
        <v>109</v>
      </c>
    </row>
    <row r="136" spans="1:13" ht="12.75">
      <c r="A136" s="92">
        <f>L85</f>
        <v>278.4</v>
      </c>
      <c r="B136" s="91">
        <f t="shared" si="4"/>
        <v>77.33333333333333</v>
      </c>
      <c r="C136" s="78">
        <f>M87</f>
        <v>689.2087013467461</v>
      </c>
      <c r="D136" s="91">
        <f>C136*B136/1000</f>
        <v>53.29880623748169</v>
      </c>
      <c r="E136" s="78">
        <f>M_tot*9.81*SIN(RADIANS(incline))+Cd*A*POWER(A136*1000/3600,2)</f>
        <v>1136.2844444444443</v>
      </c>
      <c r="F136" s="78">
        <f>C136-E136</f>
        <v>-447.07574309769814</v>
      </c>
      <c r="G136" s="91">
        <f>F136*B136/1000</f>
        <v>-34.57385746622199</v>
      </c>
      <c r="H136" s="87">
        <f>F136/M_tot</f>
        <v>-1.4329350740310838</v>
      </c>
      <c r="I136" s="87">
        <f>(A136-A135)*1000/3600/H136+I135</f>
        <v>19.161234168920075</v>
      </c>
      <c r="J136" s="87">
        <f>I136-I135</f>
        <v>-5.698535556819063</v>
      </c>
      <c r="K136" s="91">
        <f t="shared" si="15"/>
        <v>-417.4206790895621</v>
      </c>
      <c r="L136" s="91">
        <f t="shared" si="16"/>
        <v>742.0911206397718</v>
      </c>
      <c r="M136" s="146"/>
    </row>
    <row r="137" spans="1:13" ht="12.75">
      <c r="A137" s="92">
        <f>L86</f>
        <v>309.3333333333333</v>
      </c>
      <c r="B137" s="91">
        <f t="shared" si="4"/>
        <v>85.92592592592592</v>
      </c>
      <c r="C137" s="78">
        <f>C138</f>
        <v>771.5412002643845</v>
      </c>
      <c r="D137" s="91">
        <f>C137*B137/1000</f>
        <v>66.29539202271748</v>
      </c>
      <c r="E137" s="78">
        <f>M_tot*9.81*SIN(RADIANS(incline))+Cd*A*POWER(A137*1000/3600,2)</f>
        <v>1402.8203017832648</v>
      </c>
      <c r="F137" s="78">
        <f>C137-E137</f>
        <v>-631.2791015188802</v>
      </c>
      <c r="G137" s="91">
        <f>F137*B137/1000</f>
        <v>-54.24324131569637</v>
      </c>
      <c r="H137" s="87">
        <f>F137/M_tot</f>
        <v>-2.0233304535861545</v>
      </c>
      <c r="I137" s="87">
        <f>(A137-A136)*1000/3600/H137+I136</f>
        <v>14.914477255157884</v>
      </c>
      <c r="J137" s="87">
        <f>I137-I136</f>
        <v>-4.246756913762191</v>
      </c>
      <c r="K137" s="91">
        <f t="shared" si="15"/>
        <v>-346.6611939974766</v>
      </c>
      <c r="L137" s="91">
        <f t="shared" si="16"/>
        <v>395.42992664229524</v>
      </c>
      <c r="M137" s="146"/>
    </row>
    <row r="138" spans="1:13" ht="12.75">
      <c r="A138" s="101">
        <f>L87</f>
        <v>337.17333333333335</v>
      </c>
      <c r="B138" s="102">
        <f t="shared" si="4"/>
        <v>93.65925925925927</v>
      </c>
      <c r="C138" s="79">
        <f>M86</f>
        <v>771.5412002643845</v>
      </c>
      <c r="D138" s="102">
        <f>C138*B138/1000</f>
        <v>72.26197730476207</v>
      </c>
      <c r="E138" s="79">
        <f>M_tot*9.81*SIN(RADIANS(incline))+Cd*A*POWER(A138*1000/3600,2)</f>
        <v>1666.6908005486973</v>
      </c>
      <c r="F138" s="79">
        <f>C138-E138</f>
        <v>-895.1496002843128</v>
      </c>
      <c r="G138" s="102">
        <f>F138*B138/1000</f>
        <v>-83.83904848885076</v>
      </c>
      <c r="H138" s="103">
        <f>F138/M_tot</f>
        <v>-2.8690692316804896</v>
      </c>
      <c r="I138" s="103">
        <f>(A138-A137)*1000/3600/H138+I137</f>
        <v>12.219061875165911</v>
      </c>
      <c r="J138" s="103">
        <f>I138-I137</f>
        <v>-2.6954153799919727</v>
      </c>
      <c r="K138" s="102">
        <f t="shared" si="15"/>
        <v>-242.02833508342738</v>
      </c>
      <c r="L138" s="102">
        <f t="shared" si="16"/>
        <v>153.40159155886786</v>
      </c>
      <c r="M138" s="147"/>
    </row>
    <row r="139" spans="1:6" ht="12.75">
      <c r="A139" s="92"/>
      <c r="B139" s="1"/>
      <c r="C139" s="1"/>
      <c r="D139" s="1"/>
      <c r="F139" s="2"/>
    </row>
    <row r="140" spans="1:6" ht="12.75">
      <c r="A140" s="157" t="s">
        <v>113</v>
      </c>
      <c r="B140" s="158" t="s">
        <v>122</v>
      </c>
      <c r="C140" s="150"/>
      <c r="D140" s="150"/>
      <c r="E140" s="58"/>
      <c r="F140" s="151"/>
    </row>
    <row r="141" spans="1:6" ht="12.75">
      <c r="A141" s="152" t="s">
        <v>114</v>
      </c>
      <c r="B141" s="153" t="s">
        <v>115</v>
      </c>
      <c r="C141" s="153" t="s">
        <v>116</v>
      </c>
      <c r="D141" s="153" t="s">
        <v>117</v>
      </c>
      <c r="E141" s="24" t="s">
        <v>118</v>
      </c>
      <c r="F141" s="154" t="s">
        <v>119</v>
      </c>
    </row>
    <row r="142" spans="1:6" s="12" customFormat="1" ht="12.75">
      <c r="A142" s="85">
        <v>3600</v>
      </c>
      <c r="B142" s="86">
        <v>27.5</v>
      </c>
      <c r="C142" s="86">
        <v>37.16216216216216</v>
      </c>
      <c r="D142" s="86">
        <v>27.722972972972972</v>
      </c>
      <c r="E142" s="76">
        <v>44.449206149467706</v>
      </c>
      <c r="F142" s="112">
        <v>33.15910778750291</v>
      </c>
    </row>
    <row r="143" spans="1:6" ht="12.75">
      <c r="A143" s="85">
        <v>4000</v>
      </c>
      <c r="B143" s="86">
        <v>30</v>
      </c>
      <c r="C143" s="86">
        <v>40.54054054054054</v>
      </c>
      <c r="D143" s="86">
        <v>30.243243243243242</v>
      </c>
      <c r="E143" s="76">
        <v>48.49004307214659</v>
      </c>
      <c r="F143" s="112">
        <v>36.17357213182136</v>
      </c>
    </row>
    <row r="144" spans="1:6" ht="12.75">
      <c r="A144" s="85">
        <v>5000</v>
      </c>
      <c r="B144" s="86">
        <v>39.5</v>
      </c>
      <c r="C144" s="86">
        <v>53.37837837837838</v>
      </c>
      <c r="D144" s="86">
        <v>39.82027027027027</v>
      </c>
      <c r="E144" s="76">
        <v>63.845223378326345</v>
      </c>
      <c r="F144" s="112">
        <v>47.62853664023145</v>
      </c>
    </row>
    <row r="145" spans="1:6" ht="12.75">
      <c r="A145" s="85">
        <v>6000</v>
      </c>
      <c r="B145" s="86">
        <v>47</v>
      </c>
      <c r="C145" s="86">
        <v>63.51351351351351</v>
      </c>
      <c r="D145" s="86">
        <v>47.38108108108108</v>
      </c>
      <c r="E145" s="76">
        <v>75.96773414636299</v>
      </c>
      <c r="F145" s="112">
        <v>56.67192967318679</v>
      </c>
    </row>
    <row r="146" spans="1:6" s="12" customFormat="1" ht="12.75">
      <c r="A146" s="85">
        <v>7000</v>
      </c>
      <c r="B146" s="86">
        <v>56</v>
      </c>
      <c r="C146" s="86">
        <v>75.67567567567568</v>
      </c>
      <c r="D146" s="86">
        <v>56.454054054054055</v>
      </c>
      <c r="E146" s="76">
        <v>90.51474706800697</v>
      </c>
      <c r="F146" s="112">
        <v>67.5240013127332</v>
      </c>
    </row>
    <row r="147" spans="1:6" ht="12.75">
      <c r="A147" s="85">
        <v>8000</v>
      </c>
      <c r="B147" s="86">
        <v>66</v>
      </c>
      <c r="C147" s="86">
        <v>89.1891891891892</v>
      </c>
      <c r="D147" s="86">
        <v>66.53513513513514</v>
      </c>
      <c r="E147" s="76">
        <v>106.6780947587225</v>
      </c>
      <c r="F147" s="112">
        <v>79.58185869000698</v>
      </c>
    </row>
    <row r="148" spans="1:6" ht="12.75">
      <c r="A148" s="85">
        <v>9000</v>
      </c>
      <c r="B148" s="86">
        <v>74</v>
      </c>
      <c r="C148" s="86">
        <v>100</v>
      </c>
      <c r="D148" s="86">
        <v>74.6</v>
      </c>
      <c r="E148" s="76">
        <v>119.60877291129492</v>
      </c>
      <c r="F148" s="112">
        <v>89.22814459182601</v>
      </c>
    </row>
    <row r="149" spans="1:6" s="12" customFormat="1" ht="12.75">
      <c r="A149" s="85">
        <v>10000</v>
      </c>
      <c r="B149" s="86">
        <v>76</v>
      </c>
      <c r="C149" s="86">
        <v>102.7027027027027</v>
      </c>
      <c r="D149" s="86">
        <v>76.61621621621622</v>
      </c>
      <c r="E149" s="76">
        <v>122.84144244943802</v>
      </c>
      <c r="F149" s="112">
        <v>91.63971606728076</v>
      </c>
    </row>
    <row r="150" spans="1:6" ht="12.75">
      <c r="A150" s="85">
        <v>10900</v>
      </c>
      <c r="B150" s="86">
        <v>74</v>
      </c>
      <c r="C150" s="86">
        <v>100</v>
      </c>
      <c r="D150" s="86">
        <v>74.6</v>
      </c>
      <c r="E150" s="76">
        <v>119.60877291129492</v>
      </c>
      <c r="F150" s="112">
        <v>89.22814459182601</v>
      </c>
    </row>
    <row r="151" spans="1:6" ht="12.75">
      <c r="A151" s="152"/>
      <c r="B151" s="153"/>
      <c r="C151" s="153"/>
      <c r="D151" s="153"/>
      <c r="E151" s="24"/>
      <c r="F151" s="154"/>
    </row>
    <row r="152" spans="1:6" ht="12.75">
      <c r="A152" s="155"/>
      <c r="B152" s="82"/>
      <c r="C152" s="24"/>
      <c r="D152" s="24"/>
      <c r="E152" s="24"/>
      <c r="F152" s="72"/>
    </row>
    <row r="153" spans="1:6" ht="12.75">
      <c r="A153" s="155" t="s">
        <v>120</v>
      </c>
      <c r="B153" s="82">
        <v>71.5</v>
      </c>
      <c r="C153" s="24"/>
      <c r="D153" s="24"/>
      <c r="E153" s="24"/>
      <c r="F153" s="72"/>
    </row>
    <row r="154" spans="1:6" ht="12.75">
      <c r="A154" s="84" t="s">
        <v>121</v>
      </c>
      <c r="B154" s="156">
        <v>0.836059074648</v>
      </c>
      <c r="C154" s="107"/>
      <c r="D154" s="107"/>
      <c r="E154" s="107"/>
      <c r="F154" s="74"/>
    </row>
    <row r="155" spans="1:2" ht="12.75">
      <c r="A155" s="7"/>
      <c r="B155" s="7"/>
    </row>
    <row r="156" spans="1:2" ht="12.75">
      <c r="A156" s="7"/>
      <c r="B156" s="7"/>
    </row>
    <row r="157" spans="1:2" ht="12.75">
      <c r="A157" s="7"/>
      <c r="B157" s="7"/>
    </row>
    <row r="158" spans="1:2" ht="12.75">
      <c r="A158" s="7"/>
      <c r="B158" s="7"/>
    </row>
    <row r="159" spans="1:2" ht="12.75">
      <c r="A159" s="7"/>
      <c r="B159" s="7"/>
    </row>
    <row r="160" spans="1:2" ht="12.75">
      <c r="A160" s="7"/>
      <c r="B160" s="7"/>
    </row>
    <row r="161" spans="1:2" ht="12.75">
      <c r="A161" s="7"/>
      <c r="B161" s="7"/>
    </row>
    <row r="162" spans="1:2" ht="12.75">
      <c r="A162" s="7"/>
      <c r="B162" s="7"/>
    </row>
    <row r="163" spans="1:2" ht="12.75">
      <c r="A163" s="7"/>
      <c r="B163" s="7"/>
    </row>
    <row r="164" spans="1:2" ht="12.75">
      <c r="A164" s="7"/>
      <c r="B164" s="7"/>
    </row>
    <row r="165" spans="1:2" ht="12.75">
      <c r="A165" s="7"/>
      <c r="B165" s="7"/>
    </row>
    <row r="166" spans="1:2" ht="12.75">
      <c r="A166" s="7"/>
      <c r="B166" s="7"/>
    </row>
    <row r="167" spans="1:2" ht="12.75">
      <c r="A167" s="7"/>
      <c r="B167" s="7"/>
    </row>
    <row r="168" spans="1:2" ht="12.75">
      <c r="A168" s="7"/>
      <c r="B168" s="7"/>
    </row>
    <row r="169" spans="1:2" ht="12.75">
      <c r="A169" s="7"/>
      <c r="B169" s="7"/>
    </row>
    <row r="170" spans="1:2" ht="12.75">
      <c r="A170" s="7"/>
      <c r="B170" s="7"/>
    </row>
    <row r="171" spans="1:2" ht="12.75">
      <c r="A171" s="7"/>
      <c r="B171" s="7"/>
    </row>
    <row r="172" spans="1:2" ht="12.75">
      <c r="A172" s="7"/>
      <c r="B172" s="7"/>
    </row>
    <row r="173" spans="1:2" ht="12.75">
      <c r="A173" s="7"/>
      <c r="B173" s="7"/>
    </row>
    <row r="174" spans="1:2" ht="12.75">
      <c r="A174" s="7"/>
      <c r="B174" s="7"/>
    </row>
    <row r="175" spans="1:2" ht="12.75">
      <c r="A175" s="7"/>
      <c r="B175" s="7"/>
    </row>
    <row r="176" spans="1:2" ht="12.75">
      <c r="A176" s="7"/>
      <c r="B176" s="7"/>
    </row>
    <row r="177" spans="1:2" ht="12.75">
      <c r="A177" s="7"/>
      <c r="B177" s="7"/>
    </row>
    <row r="178" spans="1:2" ht="12.75">
      <c r="A178" s="7"/>
      <c r="B178" s="7"/>
    </row>
    <row r="179" spans="1:2" ht="12.75">
      <c r="A179" s="7"/>
      <c r="B179" s="7"/>
    </row>
    <row r="180" spans="1:2" ht="12.75">
      <c r="A180" s="7"/>
      <c r="B180" s="7"/>
    </row>
    <row r="181" spans="1:2" ht="12.75">
      <c r="A181" s="7"/>
      <c r="B181" s="7"/>
    </row>
    <row r="182" spans="1:2" ht="12.75">
      <c r="A182" s="7"/>
      <c r="B182" s="7"/>
    </row>
    <row r="183" spans="1:2" ht="12.75">
      <c r="A183" s="7"/>
      <c r="B183" s="7"/>
    </row>
    <row r="184" spans="1:2" ht="12.75">
      <c r="A184" s="7"/>
      <c r="B184" s="7"/>
    </row>
    <row r="185" spans="1:2" ht="12.75">
      <c r="A185" s="7"/>
      <c r="B185" s="7"/>
    </row>
    <row r="186" spans="1:2" ht="12.75">
      <c r="A186" s="7"/>
      <c r="B186" s="7"/>
    </row>
    <row r="187" spans="1:2" ht="12.75">
      <c r="A187" s="7"/>
      <c r="B187" s="7"/>
    </row>
    <row r="188" spans="1:2" ht="12.75">
      <c r="A188" s="7"/>
      <c r="B188" s="7"/>
    </row>
    <row r="189" spans="1:2" ht="12.75">
      <c r="A189" s="7"/>
      <c r="B189" s="7"/>
    </row>
    <row r="190" spans="1:2" ht="12.75">
      <c r="A190" s="7"/>
      <c r="B190" s="7"/>
    </row>
    <row r="191" spans="1:2" ht="12.75">
      <c r="A191" s="7"/>
      <c r="B191" s="7"/>
    </row>
    <row r="192" spans="1:2" ht="12.75">
      <c r="A192" s="7"/>
      <c r="B192" s="7"/>
    </row>
    <row r="193" spans="1:2" ht="12.75">
      <c r="A193" s="7"/>
      <c r="B193" s="7"/>
    </row>
    <row r="194" spans="1:2" ht="12.75">
      <c r="A194" s="7"/>
      <c r="B194" s="7"/>
    </row>
    <row r="195" spans="1:2" ht="12.75">
      <c r="A195" s="7"/>
      <c r="B195" s="7"/>
    </row>
    <row r="196" spans="1:2" ht="12.75">
      <c r="A196" s="7"/>
      <c r="B196" s="7"/>
    </row>
    <row r="197" spans="1:2" ht="12.75">
      <c r="A197" s="7"/>
      <c r="B197" s="7"/>
    </row>
    <row r="198" spans="1:2" ht="12.75">
      <c r="A198" s="7"/>
      <c r="B198" s="7"/>
    </row>
    <row r="199" spans="1:2" ht="12.75">
      <c r="A199" s="7"/>
      <c r="B199" s="7"/>
    </row>
    <row r="200" spans="1:2" ht="12.75">
      <c r="A200" s="7"/>
      <c r="B200" s="7"/>
    </row>
    <row r="201" spans="1:2" ht="12.75">
      <c r="A201" s="7"/>
      <c r="B201" s="7"/>
    </row>
    <row r="202" spans="1:2" ht="12.75">
      <c r="A202" s="7"/>
      <c r="B202" s="7"/>
    </row>
    <row r="203" spans="1:2" ht="12.75">
      <c r="A203" s="7"/>
      <c r="B203" s="7"/>
    </row>
    <row r="204" spans="1:2" ht="12.75">
      <c r="A204" s="7"/>
      <c r="B204" s="7"/>
    </row>
    <row r="205" spans="1:2" ht="12.75">
      <c r="A205" s="7"/>
      <c r="B205" s="7"/>
    </row>
    <row r="206" spans="1:2" ht="12.75">
      <c r="A206" s="7"/>
      <c r="B206" s="7"/>
    </row>
    <row r="207" spans="1:2" ht="12.75">
      <c r="A207" s="7"/>
      <c r="B207" s="7"/>
    </row>
    <row r="208" spans="1:2" ht="12.75">
      <c r="A208" s="7"/>
      <c r="B208" s="7"/>
    </row>
    <row r="209" spans="1:2" ht="12.75">
      <c r="A209" s="7"/>
      <c r="B209" s="7"/>
    </row>
    <row r="210" spans="1:2" ht="12.75">
      <c r="A210" s="7"/>
      <c r="B210" s="7"/>
    </row>
    <row r="211" spans="1:2" ht="12.75">
      <c r="A211" s="7"/>
      <c r="B211" s="7"/>
    </row>
    <row r="212" spans="1:2" ht="12.75">
      <c r="A212" s="7"/>
      <c r="B212" s="7"/>
    </row>
    <row r="213" spans="1:2" ht="12.75">
      <c r="A213" s="7"/>
      <c r="B213" s="7"/>
    </row>
    <row r="214" spans="1:2" ht="12.75">
      <c r="A214" s="7"/>
      <c r="B214" s="7"/>
    </row>
    <row r="215" spans="1:2" ht="12.75">
      <c r="A215" s="7"/>
      <c r="B215" s="7"/>
    </row>
    <row r="216" spans="1:2" ht="12.75">
      <c r="A216" s="7"/>
      <c r="B216" s="7"/>
    </row>
    <row r="217" spans="1:2" ht="12.75">
      <c r="A217" s="7"/>
      <c r="B217" s="7"/>
    </row>
    <row r="218" spans="1:2" ht="12.75">
      <c r="A218" s="7"/>
      <c r="B218" s="7"/>
    </row>
    <row r="219" spans="1:2" ht="12.75">
      <c r="A219" s="7"/>
      <c r="B219" s="7"/>
    </row>
    <row r="220" spans="1:2" ht="12.75">
      <c r="A220" s="7"/>
      <c r="B220" s="7"/>
    </row>
    <row r="221" spans="1:2" ht="12.75">
      <c r="A221" s="7"/>
      <c r="B221" s="7"/>
    </row>
    <row r="222" spans="1:2" ht="12.75">
      <c r="A222" s="7"/>
      <c r="B222" s="7"/>
    </row>
    <row r="223" spans="1:2" ht="12.75">
      <c r="A223" s="7"/>
      <c r="B223" s="7"/>
    </row>
    <row r="224" spans="1:2" ht="12.75">
      <c r="A224" s="7"/>
      <c r="B224" s="7"/>
    </row>
    <row r="225" spans="1:2" ht="12.75">
      <c r="A225" s="7"/>
      <c r="B225" s="7"/>
    </row>
    <row r="226" spans="1:2" ht="12.75">
      <c r="A226" s="7"/>
      <c r="B226" s="7"/>
    </row>
    <row r="227" spans="1:2" ht="12.75">
      <c r="A227" s="7"/>
      <c r="B227" s="7"/>
    </row>
    <row r="228" spans="1:2" ht="12.75">
      <c r="A228" s="7"/>
      <c r="B228" s="7"/>
    </row>
    <row r="229" spans="1:2" ht="12.75">
      <c r="A229" s="7"/>
      <c r="B229" s="7"/>
    </row>
    <row r="230" spans="1:2" ht="12.75">
      <c r="A230" s="7"/>
      <c r="B230" s="7"/>
    </row>
    <row r="231" spans="1:2" ht="12.75">
      <c r="A231" s="7"/>
      <c r="B231" s="7"/>
    </row>
    <row r="232" spans="1:2" ht="12.75">
      <c r="A232" s="7"/>
      <c r="B232" s="7"/>
    </row>
    <row r="233" spans="1:2" ht="12.75">
      <c r="A233" s="7"/>
      <c r="B233" s="7"/>
    </row>
    <row r="234" spans="1:2" ht="12.75">
      <c r="A234" s="7"/>
      <c r="B234" s="7"/>
    </row>
    <row r="235" spans="1:2" ht="12.75">
      <c r="A235" s="7"/>
      <c r="B235" s="7"/>
    </row>
    <row r="236" spans="1:2" ht="12.75">
      <c r="A236" s="7"/>
      <c r="B236" s="7"/>
    </row>
    <row r="237" spans="1:2" ht="12.75">
      <c r="A237" s="7"/>
      <c r="B237" s="7"/>
    </row>
    <row r="238" spans="1:2" ht="12.75">
      <c r="A238" s="7"/>
      <c r="B238" s="7"/>
    </row>
    <row r="239" spans="1:2" ht="12.75">
      <c r="A239" s="7"/>
      <c r="B239" s="7"/>
    </row>
  </sheetData>
  <printOptions/>
  <pageMargins left="0.75" right="0.75" top="1" bottom="1" header="0.5" footer="0.5"/>
  <pageSetup fitToHeight="1" fitToWidth="1" horizontalDpi="300" verticalDpi="300" orientation="portrait" paperSize="9" scale="3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Headway Consultancy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 Tynan</dc:creator>
  <cp:keywords/>
  <dc:description/>
  <cp:lastModifiedBy>Keith Tynan</cp:lastModifiedBy>
  <cp:lastPrinted>2001-01-17T11:55:37Z</cp:lastPrinted>
  <dcterms:created xsi:type="dcterms:W3CDTF">1999-11-20T08:46:20Z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