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5340" windowHeight="6585" tabRatio="689" activeTab="2"/>
  </bookViews>
  <sheets>
    <sheet name="1994 Triumph Trophy 3" sheetId="1" r:id="rId1"/>
    <sheet name="1996 Triumph Speed III - Bonz" sheetId="2" r:id="rId2"/>
    <sheet name="Summary" sheetId="3" r:id="rId3"/>
  </sheets>
  <definedNames>
    <definedName name="A" localSheetId="0">'1994 Triumph Trophy 3'!$B$18</definedName>
    <definedName name="A" localSheetId="1">'1996 Triumph Speed III - Bonz'!$B$18</definedName>
    <definedName name="A">#REF!</definedName>
    <definedName name="a_ref1" localSheetId="0">'1994 Triumph Trophy 3'!$E$4</definedName>
    <definedName name="a_ref1" localSheetId="1">'1996 Triumph Speed III - Bonz'!$E$4</definedName>
    <definedName name="a_ref1">#REF!</definedName>
    <definedName name="a_ref2" localSheetId="0">'1994 Triumph Trophy 3'!$E$5</definedName>
    <definedName name="a_ref2" localSheetId="1">'1996 Triumph Speed III - Bonz'!$E$5</definedName>
    <definedName name="a_ref2">#REF!</definedName>
    <definedName name="Cd" localSheetId="0">'1994 Triumph Trophy 3'!$B$17</definedName>
    <definedName name="Cd" localSheetId="1">'1996 Triumph Speed III - Bonz'!$B$17</definedName>
    <definedName name="Cd">#REF!</definedName>
    <definedName name="cPower1" localSheetId="0">'1994 Triumph Trophy 3'!$B$5</definedName>
    <definedName name="cPower1" localSheetId="1">'1996 Triumph Speed III - Bonz'!$B$5</definedName>
    <definedName name="cPower1">#REF!</definedName>
    <definedName name="cPower10" localSheetId="0">'1994 Triumph Trophy 3'!$B$14</definedName>
    <definedName name="cPower10" localSheetId="1">'1996 Triumph Speed III - Bonz'!$B$14</definedName>
    <definedName name="cPower10">#REF!</definedName>
    <definedName name="cPower11" localSheetId="0">'1994 Triumph Trophy 3'!$B$15</definedName>
    <definedName name="cPower11" localSheetId="1">'1996 Triumph Speed III - Bonz'!$B$15</definedName>
    <definedName name="cPower11">#REF!</definedName>
    <definedName name="cPower2" localSheetId="0">'1994 Triumph Trophy 3'!$B$6</definedName>
    <definedName name="cPower2" localSheetId="1">'1996 Triumph Speed III - Bonz'!$B$6</definedName>
    <definedName name="cPower2">#REF!</definedName>
    <definedName name="cPower3" localSheetId="0">'1994 Triumph Trophy 3'!$B$7</definedName>
    <definedName name="cPower3" localSheetId="1">'1996 Triumph Speed III - Bonz'!$B$7</definedName>
    <definedName name="cPower3">#REF!</definedName>
    <definedName name="cPower4" localSheetId="0">'1994 Triumph Trophy 3'!$B$8</definedName>
    <definedName name="cPower4" localSheetId="1">'1996 Triumph Speed III - Bonz'!$B$8</definedName>
    <definedName name="cPower4">#REF!</definedName>
    <definedName name="cPower5" localSheetId="0">'1994 Triumph Trophy 3'!$B$9</definedName>
    <definedName name="cPower5" localSheetId="1">'1996 Triumph Speed III - Bonz'!$B$9</definedName>
    <definedName name="cPower5">#REF!</definedName>
    <definedName name="cPower6" localSheetId="0">'1994 Triumph Trophy 3'!$B$10</definedName>
    <definedName name="cPower6" localSheetId="1">'1996 Triumph Speed III - Bonz'!$B$10</definedName>
    <definedName name="cPower6">#REF!</definedName>
    <definedName name="cPower7" localSheetId="0">'1994 Triumph Trophy 3'!$B$11</definedName>
    <definedName name="cPower7" localSheetId="1">'1996 Triumph Speed III - Bonz'!$B$11</definedName>
    <definedName name="cPower7">#REF!</definedName>
    <definedName name="cPower8" localSheetId="0">'1994 Triumph Trophy 3'!$B$12</definedName>
    <definedName name="cPower8" localSheetId="1">'1996 Triumph Speed III - Bonz'!$B$12</definedName>
    <definedName name="cPower8">#REF!</definedName>
    <definedName name="cPower9" localSheetId="0">'1994 Triumph Trophy 3'!$B$13</definedName>
    <definedName name="cPower9" localSheetId="1">'1996 Triumph Speed III - Bonz'!$B$13</definedName>
    <definedName name="cPower9">#REF!</definedName>
    <definedName name="cPowerRpmMax" localSheetId="0">'1994 Triumph Trophy 3'!$B$16</definedName>
    <definedName name="cPowerRpmMax" localSheetId="1">'1996 Triumph Speed III - Bonz'!$B$16</definedName>
    <definedName name="cPowerRpmMax">#REF!</definedName>
    <definedName name="Crown_1" localSheetId="0">'1994 Triumph Trophy 3'!$B$31</definedName>
    <definedName name="Crown_1" localSheetId="1">'1996 Triumph Speed III - Bonz'!$B$31</definedName>
    <definedName name="Crown_1">#REF!</definedName>
    <definedName name="Crown_2" localSheetId="0">'1994 Triumph Trophy 3'!$B$32</definedName>
    <definedName name="Crown_2" localSheetId="1">'1996 Triumph Speed III - Bonz'!$B$32</definedName>
    <definedName name="Crown_2">#REF!</definedName>
    <definedName name="Crown_3" localSheetId="0">'1994 Triumph Trophy 3'!$B$33</definedName>
    <definedName name="Crown_3" localSheetId="1">'1996 Triumph Speed III - Bonz'!$B$33</definedName>
    <definedName name="Crown_3">#REF!</definedName>
    <definedName name="Crown_4" localSheetId="0">'1994 Triumph Trophy 3'!$B$34</definedName>
    <definedName name="Crown_4" localSheetId="1">'1996 Triumph Speed III - Bonz'!$B$34</definedName>
    <definedName name="Crown_4">#REF!</definedName>
    <definedName name="Crown_5" localSheetId="0">'1994 Triumph Trophy 3'!$B$35</definedName>
    <definedName name="Crown_5" localSheetId="1">'1996 Triumph Speed III - Bonz'!$B$35</definedName>
    <definedName name="Crown_5">#REF!</definedName>
    <definedName name="Crown_6" localSheetId="0">'1994 Triumph Trophy 3'!$B$36</definedName>
    <definedName name="Crown_6" localSheetId="1">'1996 Triumph Speed III - Bonz'!$B$36</definedName>
    <definedName name="Crown_6">#REF!</definedName>
    <definedName name="Crown_f" localSheetId="0">'1994 Triumph Trophy 3'!$B$37</definedName>
    <definedName name="Crown_f" localSheetId="1">'1996 Triumph Speed III - Bonz'!$B$37</definedName>
    <definedName name="Crown_f">#REF!</definedName>
    <definedName name="Crown_p" localSheetId="0">'1994 Triumph Trophy 3'!$B$30</definedName>
    <definedName name="Crown_p" localSheetId="1">'1996 Triumph Speed III - Bonz'!$B$30</definedName>
    <definedName name="Crown_p">#REF!</definedName>
    <definedName name="efficiency" localSheetId="0">'1994 Triumph Trophy 3'!$B$44</definedName>
    <definedName name="efficiency" localSheetId="1">'1996 Triumph Speed III - Bonz'!$B$44</definedName>
    <definedName name="efficiency">#REF!</definedName>
    <definedName name="Gearchange" localSheetId="0">'1994 Triumph Trophy 3'!$B$19</definedName>
    <definedName name="Gearchange" localSheetId="1">'1996 Triumph Speed III - Bonz'!$B$19</definedName>
    <definedName name="Gearchange">#REF!</definedName>
    <definedName name="Gearing_rpm" localSheetId="0">'1994 Triumph Trophy 3'!$D$25</definedName>
    <definedName name="Gearing_rpm" localSheetId="1">'1996 Triumph Speed III - Bonz'!$D$25</definedName>
    <definedName name="Gearing_rpm">#REF!</definedName>
    <definedName name="Gearing_v" localSheetId="0">'1994 Triumph Trophy 3'!$B$25</definedName>
    <definedName name="Gearing_v" localSheetId="1">'1996 Triumph Speed III - Bonz'!$B$25</definedName>
    <definedName name="Gearing_v">#REF!</definedName>
    <definedName name="incline" localSheetId="0">'1994 Triumph Trophy 3'!$B$47</definedName>
    <definedName name="incline" localSheetId="1">'1996 Triumph Speed III - Bonz'!$B$47</definedName>
    <definedName name="incline">#REF!</definedName>
    <definedName name="krpm0" localSheetId="0">'1994 Triumph Trophy 3'!$A$57</definedName>
    <definedName name="krpm0" localSheetId="1">'1996 Triumph Speed III - Bonz'!$A$57</definedName>
    <definedName name="krpm0">#REF!</definedName>
    <definedName name="krpm1" localSheetId="0">'1994 Triumph Trophy 3'!$A$58</definedName>
    <definedName name="krpm1" localSheetId="1">'1996 Triumph Speed III - Bonz'!$A$58</definedName>
    <definedName name="krpm1">#REF!</definedName>
    <definedName name="krpm10" localSheetId="0">'1994 Triumph Trophy 3'!$A$67</definedName>
    <definedName name="krpm10" localSheetId="1">'1996 Triumph Speed III - Bonz'!$A$67</definedName>
    <definedName name="krpm10">#REF!</definedName>
    <definedName name="krpm11" localSheetId="0">'1994 Triumph Trophy 3'!$A$68</definedName>
    <definedName name="krpm11" localSheetId="1">'1996 Triumph Speed III - Bonz'!$A$68</definedName>
    <definedName name="krpm11">#REF!</definedName>
    <definedName name="krpm2" localSheetId="0">'1994 Triumph Trophy 3'!$A$59</definedName>
    <definedName name="krpm2" localSheetId="1">'1996 Triumph Speed III - Bonz'!$A$59</definedName>
    <definedName name="krpm2">#REF!</definedName>
    <definedName name="krpm3" localSheetId="0">'1994 Triumph Trophy 3'!$A$60</definedName>
    <definedName name="krpm3" localSheetId="1">'1996 Triumph Speed III - Bonz'!$A$60</definedName>
    <definedName name="krpm3">#REF!</definedName>
    <definedName name="krpm4" localSheetId="0">'1994 Triumph Trophy 3'!$A$61</definedName>
    <definedName name="krpm4" localSheetId="1">'1996 Triumph Speed III - Bonz'!$A$61</definedName>
    <definedName name="krpm4">#REF!</definedName>
    <definedName name="krpm5" localSheetId="0">'1994 Triumph Trophy 3'!$A$62</definedName>
    <definedName name="krpm5" localSheetId="1">'1996 Triumph Speed III - Bonz'!$A$62</definedName>
    <definedName name="krpm5">#REF!</definedName>
    <definedName name="krpm6" localSheetId="0">'1994 Triumph Trophy 3'!$A$63</definedName>
    <definedName name="krpm6" localSheetId="1">'1996 Triumph Speed III - Bonz'!$A$63</definedName>
    <definedName name="krpm6">#REF!</definedName>
    <definedName name="krpm7" localSheetId="0">'1994 Triumph Trophy 3'!$A$64</definedName>
    <definedName name="krpm7" localSheetId="1">'1996 Triumph Speed III - Bonz'!$A$64</definedName>
    <definedName name="krpm7">#REF!</definedName>
    <definedName name="krpm8" localSheetId="0">'1994 Triumph Trophy 3'!$A$65</definedName>
    <definedName name="krpm8" localSheetId="1">'1996 Triumph Speed III - Bonz'!$A$65</definedName>
    <definedName name="krpm8">#REF!</definedName>
    <definedName name="krpm9" localSheetId="0">'1994 Triumph Trophy 3'!$A$66</definedName>
    <definedName name="krpm9" localSheetId="1">'1996 Triumph Speed III - Bonz'!$A$66</definedName>
    <definedName name="krpm9">#REF!</definedName>
    <definedName name="krpmMax" localSheetId="0">'1994 Triumph Trophy 3'!$A$69</definedName>
    <definedName name="krpmMax" localSheetId="1">'1996 Triumph Speed III - Bonz'!$A$69</definedName>
    <definedName name="krpmMax">#REF!</definedName>
    <definedName name="Loss_crank_gearbox" localSheetId="0">'1994 Triumph Trophy 3'!$B$20</definedName>
    <definedName name="Loss_crank_gearbox" localSheetId="1">'1996 Triumph Speed III - Bonz'!$B$20</definedName>
    <definedName name="Loss_crank_gearbox">#REF!</definedName>
    <definedName name="Loss_gearbox_wheel" localSheetId="0">'1994 Triumph Trophy 3'!$B$21</definedName>
    <definedName name="Loss_gearbox_wheel" localSheetId="1">'1996 Triumph Speed III - Bonz'!$B$21</definedName>
    <definedName name="Loss_gearbox_wheel">#REF!</definedName>
    <definedName name="Loss_wheel_road" localSheetId="0">'1994 Triumph Trophy 3'!$B$22</definedName>
    <definedName name="Loss_wheel_road" localSheetId="1">'1996 Triumph Speed III - Bonz'!$B$22</definedName>
    <definedName name="Loss_wheel_road">#REF!</definedName>
    <definedName name="M_accessories" localSheetId="0">'1994 Triumph Trophy 3'!$B$23</definedName>
    <definedName name="M_accessories" localSheetId="1">'1996 Triumph Speed III - Bonz'!$B$23</definedName>
    <definedName name="M_accessories">#REF!</definedName>
    <definedName name="M_bike" localSheetId="0">'1994 Triumph Trophy 3'!$B$38</definedName>
    <definedName name="M_bike" localSheetId="1">'1996 Triumph Speed III - Bonz'!$B$38</definedName>
    <definedName name="M_bike">#REF!</definedName>
    <definedName name="M_rider" localSheetId="0">'1994 Triumph Trophy 3'!$B$24</definedName>
    <definedName name="M_rider" localSheetId="1">'1996 Triumph Speed III - Bonz'!$B$24</definedName>
    <definedName name="M_rider">#REF!</definedName>
    <definedName name="M_tot" localSheetId="0">'1994 Triumph Trophy 3'!$B$43</definedName>
    <definedName name="M_tot" localSheetId="1">'1996 Triumph Speed III - Bonz'!$B$43</definedName>
    <definedName name="M_tot">#REF!</definedName>
    <definedName name="Pinion_1" localSheetId="0">'1994 Triumph Trophy 3'!$C$31</definedName>
    <definedName name="Pinion_1" localSheetId="1">'1996 Triumph Speed III - Bonz'!$C$31</definedName>
    <definedName name="Pinion_1">#REF!</definedName>
    <definedName name="Pinion_2" localSheetId="0">'1994 Triumph Trophy 3'!$C$32</definedName>
    <definedName name="Pinion_2" localSheetId="1">'1996 Triumph Speed III - Bonz'!$C$32</definedName>
    <definedName name="Pinion_2">#REF!</definedName>
    <definedName name="Pinion_3" localSheetId="0">'1994 Triumph Trophy 3'!$C$33</definedName>
    <definedName name="Pinion_3" localSheetId="1">'1996 Triumph Speed III - Bonz'!$C$33</definedName>
    <definedName name="Pinion_3">#REF!</definedName>
    <definedName name="Pinion_4" localSheetId="0">'1994 Triumph Trophy 3'!$C$34</definedName>
    <definedName name="Pinion_4" localSheetId="1">'1996 Triumph Speed III - Bonz'!$C$34</definedName>
    <definedName name="Pinion_4">#REF!</definedName>
    <definedName name="Pinion_5" localSheetId="0">'1994 Triumph Trophy 3'!$C$35</definedName>
    <definedName name="Pinion_5" localSheetId="1">'1996 Triumph Speed III - Bonz'!$C$35</definedName>
    <definedName name="Pinion_5">#REF!</definedName>
    <definedName name="Pinion_6" localSheetId="0">'1994 Triumph Trophy 3'!$C$36</definedName>
    <definedName name="Pinion_6" localSheetId="1">'1996 Triumph Speed III - Bonz'!$C$36</definedName>
    <definedName name="Pinion_6">#REF!</definedName>
    <definedName name="Pinion_f" localSheetId="0">'1994 Triumph Trophy 3'!$C$37</definedName>
    <definedName name="Pinion_f" localSheetId="1">'1996 Triumph Speed III - Bonz'!$C$37</definedName>
    <definedName name="Pinion_f">#REF!</definedName>
    <definedName name="Pinion_p" localSheetId="0">'1994 Triumph Trophy 3'!$C$30</definedName>
    <definedName name="Pinion_p" localSheetId="1">'1996 Triumph Speed III - Bonz'!$C$30</definedName>
    <definedName name="Pinion_p">#REF!</definedName>
    <definedName name="Power1" localSheetId="0">'1994 Triumph Trophy 3'!$B$58</definedName>
    <definedName name="Power1" localSheetId="1">'1996 Triumph Speed III - Bonz'!$B$58</definedName>
    <definedName name="Power1">#REF!</definedName>
    <definedName name="Power10" localSheetId="0">'1994 Triumph Trophy 3'!$B$67</definedName>
    <definedName name="Power10" localSheetId="1">'1996 Triumph Speed III - Bonz'!$B$67</definedName>
    <definedName name="Power10">#REF!</definedName>
    <definedName name="Power11" localSheetId="0">'1994 Triumph Trophy 3'!$B$68</definedName>
    <definedName name="Power11" localSheetId="1">'1996 Triumph Speed III - Bonz'!$B$68</definedName>
    <definedName name="Power11">#REF!</definedName>
    <definedName name="Power2" localSheetId="0">'1994 Triumph Trophy 3'!$B$59</definedName>
    <definedName name="Power2" localSheetId="1">'1996 Triumph Speed III - Bonz'!$B$59</definedName>
    <definedName name="Power2">#REF!</definedName>
    <definedName name="Power3" localSheetId="0">'1994 Triumph Trophy 3'!$B$60</definedName>
    <definedName name="Power3" localSheetId="1">'1996 Triumph Speed III - Bonz'!$B$60</definedName>
    <definedName name="Power3">#REF!</definedName>
    <definedName name="Power4" localSheetId="0">'1994 Triumph Trophy 3'!$B$61</definedName>
    <definedName name="Power4" localSheetId="1">'1996 Triumph Speed III - Bonz'!$B$61</definedName>
    <definedName name="Power4">#REF!</definedName>
    <definedName name="Power5" localSheetId="0">'1994 Triumph Trophy 3'!$B$62</definedName>
    <definedName name="Power5" localSheetId="1">'1996 Triumph Speed III - Bonz'!$B$62</definedName>
    <definedName name="Power5">#REF!</definedName>
    <definedName name="Power6" localSheetId="0">'1994 Triumph Trophy 3'!$B$63</definedName>
    <definedName name="Power6" localSheetId="1">'1996 Triumph Speed III - Bonz'!$B$63</definedName>
    <definedName name="Power6">#REF!</definedName>
    <definedName name="Power7" localSheetId="0">'1994 Triumph Trophy 3'!$B$64</definedName>
    <definedName name="Power7" localSheetId="1">'1996 Triumph Speed III - Bonz'!$B$64</definedName>
    <definedName name="Power7">#REF!</definedName>
    <definedName name="Power8" localSheetId="0">'1994 Triumph Trophy 3'!$B$65</definedName>
    <definedName name="Power8" localSheetId="1">'1996 Triumph Speed III - Bonz'!$B$65</definedName>
    <definedName name="Power8">#REF!</definedName>
    <definedName name="Power9" localSheetId="0">'1994 Triumph Trophy 3'!$B$66</definedName>
    <definedName name="Power9" localSheetId="1">'1996 Triumph Speed III - Bonz'!$B$66</definedName>
    <definedName name="Power9">#REF!</definedName>
    <definedName name="PowerRpmMax" localSheetId="0">'1994 Triumph Trophy 3'!$B$69</definedName>
    <definedName name="PowerRpmMax" localSheetId="1">'1996 Triumph Speed III - Bonz'!$B$69</definedName>
    <definedName name="PowerRpmMax">#REF!</definedName>
    <definedName name="r_wheel" localSheetId="0">'1994 Triumph Trophy 3'!$B$45</definedName>
    <definedName name="r_wheel" localSheetId="1">'1996 Triumph Speed III - Bonz'!$B$45</definedName>
    <definedName name="r_wheel">#REF!</definedName>
    <definedName name="Ratio1" localSheetId="0">'1994 Triumph Trophy 3'!$D$31</definedName>
    <definedName name="Ratio1" localSheetId="1">'1996 Triumph Speed III - Bonz'!$D$31</definedName>
    <definedName name="Ratio1">#REF!</definedName>
    <definedName name="Ratio2" localSheetId="0">'1994 Triumph Trophy 3'!$D$32</definedName>
    <definedName name="Ratio2" localSheetId="1">'1996 Triumph Speed III - Bonz'!$D$32</definedName>
    <definedName name="Ratio2">#REF!</definedName>
    <definedName name="Ratio3" localSheetId="0">'1994 Triumph Trophy 3'!$D$33</definedName>
    <definedName name="Ratio3" localSheetId="1">'1996 Triumph Speed III - Bonz'!$D$33</definedName>
    <definedName name="Ratio3">#REF!</definedName>
    <definedName name="Ratio4" localSheetId="0">'1994 Triumph Trophy 3'!$D$34</definedName>
    <definedName name="Ratio4" localSheetId="1">'1996 Triumph Speed III - Bonz'!$D$34</definedName>
    <definedName name="Ratio4">#REF!</definedName>
    <definedName name="Ratio5" localSheetId="0">'1994 Triumph Trophy 3'!$D$35</definedName>
    <definedName name="Ratio5" localSheetId="1">'1996 Triumph Speed III - Bonz'!$D$35</definedName>
    <definedName name="Ratio5">#REF!</definedName>
    <definedName name="Ratio6" localSheetId="0">'1994 Triumph Trophy 3'!$D$36</definedName>
    <definedName name="Ratio6" localSheetId="1">'1996 Triumph Speed III - Bonz'!$D$36</definedName>
    <definedName name="Ratio6">#REF!</definedName>
    <definedName name="rpm1" localSheetId="0">'1994 Triumph Trophy 3'!$C$5</definedName>
    <definedName name="rpm1" localSheetId="1">'1996 Triumph Speed III - Bonz'!$C$5</definedName>
    <definedName name="rpm1">#REF!</definedName>
    <definedName name="rpm10" localSheetId="0">'1994 Triumph Trophy 3'!$C$14</definedName>
    <definedName name="rpm10" localSheetId="1">'1996 Triumph Speed III - Bonz'!$C$14</definedName>
    <definedName name="rpm10">#REF!</definedName>
    <definedName name="rpm11" localSheetId="0">'1994 Triumph Trophy 3'!$C$15</definedName>
    <definedName name="rpm11" localSheetId="1">'1996 Triumph Speed III - Bonz'!$C$15</definedName>
    <definedName name="rpm11">#REF!</definedName>
    <definedName name="rpm2" localSheetId="0">'1994 Triumph Trophy 3'!$C$6</definedName>
    <definedName name="rpm2" localSheetId="1">'1996 Triumph Speed III - Bonz'!$C$6</definedName>
    <definedName name="rpm2">#REF!</definedName>
    <definedName name="rpm3" localSheetId="0">'1994 Triumph Trophy 3'!$C$7</definedName>
    <definedName name="rpm3" localSheetId="1">'1996 Triumph Speed III - Bonz'!$C$7</definedName>
    <definedName name="rpm3">#REF!</definedName>
    <definedName name="rpm4" localSheetId="0">'1994 Triumph Trophy 3'!$C$8</definedName>
    <definedName name="rpm4" localSheetId="1">'1996 Triumph Speed III - Bonz'!$C$8</definedName>
    <definedName name="rpm4">#REF!</definedName>
    <definedName name="rpm5" localSheetId="0">'1994 Triumph Trophy 3'!$C$9</definedName>
    <definedName name="rpm5" localSheetId="1">'1996 Triumph Speed III - Bonz'!$C$9</definedName>
    <definedName name="rpm5">#REF!</definedName>
    <definedName name="rpm6" localSheetId="0">'1994 Triumph Trophy 3'!$C$10</definedName>
    <definedName name="rpm6" localSheetId="1">'1996 Triumph Speed III - Bonz'!$C$10</definedName>
    <definedName name="rpm6">#REF!</definedName>
    <definedName name="rpm7" localSheetId="0">'1994 Triumph Trophy 3'!$C$11</definedName>
    <definedName name="rpm7" localSheetId="1">'1996 Triumph Speed III - Bonz'!$C$11</definedName>
    <definedName name="rpm7">#REF!</definedName>
    <definedName name="rpm8" localSheetId="0">'1994 Triumph Trophy 3'!$C$12</definedName>
    <definedName name="rpm8" localSheetId="1">'1996 Triumph Speed III - Bonz'!$C$12</definedName>
    <definedName name="rpm8">#REF!</definedName>
    <definedName name="rpm9" localSheetId="0">'1994 Triumph Trophy 3'!$C$13</definedName>
    <definedName name="rpm9" localSheetId="1">'1996 Triumph Speed III - Bonz'!$C$13</definedName>
    <definedName name="rpm9">#REF!</definedName>
    <definedName name="rpmMax" localSheetId="0">'1994 Triumph Trophy 3'!$C$16</definedName>
    <definedName name="rpmMax" localSheetId="1">'1996 Triumph Speed III - Bonz'!$C$16</definedName>
    <definedName name="rpmMax">#REF!</definedName>
    <definedName name="Torque1" localSheetId="0">'1994 Triumph Trophy 3'!$C$58</definedName>
    <definedName name="Torque1" localSheetId="1">'1996 Triumph Speed III - Bonz'!$C$58</definedName>
    <definedName name="Torque1">#REF!</definedName>
    <definedName name="Torque10" localSheetId="0">'1994 Triumph Trophy 3'!$C$67</definedName>
    <definedName name="Torque10" localSheetId="1">'1996 Triumph Speed III - Bonz'!$C$67</definedName>
    <definedName name="Torque10">#REF!</definedName>
    <definedName name="Torque11" localSheetId="0">'1994 Triumph Trophy 3'!$C$68</definedName>
    <definedName name="Torque11" localSheetId="1">'1996 Triumph Speed III - Bonz'!$C$68</definedName>
    <definedName name="Torque11">#REF!</definedName>
    <definedName name="Torque2" localSheetId="0">'1994 Triumph Trophy 3'!$C$59</definedName>
    <definedName name="Torque2" localSheetId="1">'1996 Triumph Speed III - Bonz'!$C$59</definedName>
    <definedName name="Torque2">#REF!</definedName>
    <definedName name="Torque3" localSheetId="0">'1994 Triumph Trophy 3'!$C$60</definedName>
    <definedName name="Torque3" localSheetId="1">'1996 Triumph Speed III - Bonz'!$C$60</definedName>
    <definedName name="Torque3">#REF!</definedName>
    <definedName name="Torque4" localSheetId="0">'1994 Triumph Trophy 3'!$C$61</definedName>
    <definedName name="Torque4" localSheetId="1">'1996 Triumph Speed III - Bonz'!$C$61</definedName>
    <definedName name="Torque4">#REF!</definedName>
    <definedName name="Torque5" localSheetId="0">'1994 Triumph Trophy 3'!$C$62</definedName>
    <definedName name="Torque5" localSheetId="1">'1996 Triumph Speed III - Bonz'!$C$62</definedName>
    <definedName name="Torque5">#REF!</definedName>
    <definedName name="Torque6" localSheetId="0">'1994 Triumph Trophy 3'!$C$63</definedName>
    <definedName name="Torque6" localSheetId="1">'1996 Triumph Speed III - Bonz'!$C$63</definedName>
    <definedName name="Torque6">#REF!</definedName>
    <definedName name="Torque7" localSheetId="0">'1994 Triumph Trophy 3'!$C$64</definedName>
    <definedName name="Torque7" localSheetId="1">'1996 Triumph Speed III - Bonz'!$C$64</definedName>
    <definedName name="Torque7">#REF!</definedName>
    <definedName name="Torque8" localSheetId="0">'1994 Triumph Trophy 3'!$C$65</definedName>
    <definedName name="Torque8" localSheetId="1">'1996 Triumph Speed III - Bonz'!$C$65</definedName>
    <definedName name="Torque8">#REF!</definedName>
    <definedName name="Torque9" localSheetId="0">'1994 Triumph Trophy 3'!$C$66</definedName>
    <definedName name="Torque9" localSheetId="1">'1996 Triumph Speed III - Bonz'!$C$66</definedName>
    <definedName name="Torque9">#REF!</definedName>
    <definedName name="TorqueRpmMax" localSheetId="0">'1994 Triumph Trophy 3'!$C$69</definedName>
    <definedName name="TorqueRpmMax" localSheetId="1">'1996 Triumph Speed III - Bonz'!$C$69</definedName>
    <definedName name="TorqueRpmMax">#REF!</definedName>
    <definedName name="V_fork" localSheetId="0">'1994 Triumph Trophy 3'!$B$41</definedName>
    <definedName name="V_fork" localSheetId="1">'1996 Triumph Speed III - Bonz'!$B$41</definedName>
    <definedName name="V_fork">#REF!</definedName>
    <definedName name="V_fuel" localSheetId="0">'1994 Triumph Trophy 3'!$B$39</definedName>
    <definedName name="V_fuel" localSheetId="1">'1996 Triumph Speed III - Bonz'!$B$39</definedName>
    <definedName name="V_fuel">#REF!</definedName>
    <definedName name="V_oil" localSheetId="0">'1994 Triumph Trophy 3'!$B$40</definedName>
    <definedName name="V_oil" localSheetId="1">'1996 Triumph Speed III - Bonz'!$B$40</definedName>
    <definedName name="V_oil">#REF!</definedName>
    <definedName name="V_water" localSheetId="0">'1994 Triumph Trophy 3'!$B$42</definedName>
    <definedName name="V_water" localSheetId="1">'1996 Triumph Speed III - Bonz'!$B$42</definedName>
    <definedName name="V_water">#REF!</definedName>
    <definedName name="Vmax_actual" localSheetId="0">'1994 Triumph Trophy 3'!$B$26</definedName>
    <definedName name="Vmax_actual" localSheetId="1">'1996 Triumph Speed III - Bonz'!$B$26</definedName>
    <definedName name="Vmax_actual">#REF!</definedName>
    <definedName name="vmax1" localSheetId="0">'1994 Triumph Trophy 3'!$B$52</definedName>
    <definedName name="vmax1" localSheetId="1">'1996 Triumph Speed III - Bonz'!$B$52</definedName>
    <definedName name="vmax1">#REF!</definedName>
    <definedName name="vmax2" localSheetId="0">'1994 Triumph Trophy 3'!$C$52</definedName>
    <definedName name="vmax2" localSheetId="1">'1996 Triumph Speed III - Bonz'!$C$52</definedName>
    <definedName name="vmax2">#REF!</definedName>
    <definedName name="vmax3" localSheetId="0">'1994 Triumph Trophy 3'!$D$52</definedName>
    <definedName name="vmax3" localSheetId="1">'1996 Triumph Speed III - Bonz'!$D$52</definedName>
    <definedName name="vmax3">#REF!</definedName>
    <definedName name="vmax4" localSheetId="0">'1994 Triumph Trophy 3'!$E$52</definedName>
    <definedName name="vmax4" localSheetId="1">'1996 Triumph Speed III - Bonz'!$E$52</definedName>
    <definedName name="vmax4">#REF!</definedName>
    <definedName name="vmax5" localSheetId="0">'1994 Triumph Trophy 3'!$F$52</definedName>
    <definedName name="vmax5" localSheetId="1">'1996 Triumph Speed III - Bonz'!$F$52</definedName>
    <definedName name="vmax5">#REF!</definedName>
    <definedName name="vmax6" localSheetId="0">'1994 Triumph Trophy 3'!$G$52</definedName>
    <definedName name="vmax6" localSheetId="1">'1996 Triumph Speed III - Bonz'!$G$52</definedName>
    <definedName name="vmax6">#REF!</definedName>
    <definedName name="vmax6mps1">#REF!</definedName>
    <definedName name="vmax6mps3" localSheetId="0">'1994 Triumph Trophy 3'!$B$46</definedName>
    <definedName name="vmax6mps3" localSheetId="1">'1996 Triumph Speed III - Bonz'!$B$46</definedName>
    <definedName name="vmax6mps3">#REF!</definedName>
    <definedName name="vmax6mps4">#REF!</definedName>
  </definedNames>
  <calcPr fullCalcOnLoad="1"/>
</workbook>
</file>

<file path=xl/comments1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comments2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sharedStrings.xml><?xml version="1.0" encoding="utf-8"?>
<sst xmlns="http://schemas.openxmlformats.org/spreadsheetml/2006/main" count="306" uniqueCount="127">
  <si>
    <t>m/s</t>
  </si>
  <si>
    <t>km/h</t>
  </si>
  <si>
    <t>rpm</t>
  </si>
  <si>
    <t>Nm</t>
  </si>
  <si>
    <t>s</t>
  </si>
  <si>
    <t>V</t>
  </si>
  <si>
    <t>kg</t>
  </si>
  <si>
    <t>krpm</t>
  </si>
  <si>
    <t>Tc</t>
  </si>
  <si>
    <t>Crown</t>
  </si>
  <si>
    <t>Pinion</t>
  </si>
  <si>
    <t>Vmax in gears</t>
  </si>
  <si>
    <t>Gearing</t>
  </si>
  <si>
    <t>kW</t>
  </si>
  <si>
    <t>TE</t>
  </si>
  <si>
    <t>TE scale</t>
  </si>
  <si>
    <t>t</t>
  </si>
  <si>
    <t>Acceleration (theoretical)</t>
  </si>
  <si>
    <t>mph</t>
  </si>
  <si>
    <t>Specification data</t>
  </si>
  <si>
    <t>Max rpm</t>
  </si>
  <si>
    <t>Mass bike</t>
  </si>
  <si>
    <t>Mass rider</t>
  </si>
  <si>
    <t>Loss crank-gearbox</t>
  </si>
  <si>
    <t>Loss gearbox-wheel</t>
  </si>
  <si>
    <t>Gear primary</t>
  </si>
  <si>
    <t>Gear 1</t>
  </si>
  <si>
    <t>Gear 2</t>
  </si>
  <si>
    <t>Gear 3</t>
  </si>
  <si>
    <t>Gear 4</t>
  </si>
  <si>
    <t>Gear 5</t>
  </si>
  <si>
    <t>Gear 6</t>
  </si>
  <si>
    <t>Gear final</t>
  </si>
  <si>
    <t>Drag coefficient</t>
  </si>
  <si>
    <t>Volume fuel</t>
  </si>
  <si>
    <t>Volume water</t>
  </si>
  <si>
    <t>Mass accessories</t>
  </si>
  <si>
    <t>lit</t>
  </si>
  <si>
    <t>Total mass</t>
  </si>
  <si>
    <t>Wheel radius</t>
  </si>
  <si>
    <t>gear</t>
  </si>
  <si>
    <t>R gradient</t>
  </si>
  <si>
    <t>R air</t>
  </si>
  <si>
    <t>R total</t>
  </si>
  <si>
    <t>Resistance to motion [N]</t>
  </si>
  <si>
    <t>Velocity max</t>
  </si>
  <si>
    <t>Road incline</t>
  </si>
  <si>
    <t>deg</t>
  </si>
  <si>
    <t>R tot</t>
  </si>
  <si>
    <t>a</t>
  </si>
  <si>
    <t>TE road</t>
  </si>
  <si>
    <t>Quarter</t>
  </si>
  <si>
    <t>dt</t>
  </si>
  <si>
    <t>V (m/s)</t>
  </si>
  <si>
    <t>ds(m)</t>
  </si>
  <si>
    <t>s(m)</t>
  </si>
  <si>
    <t xml:space="preserve">Volume oil </t>
  </si>
  <si>
    <t>Volume fork oil</t>
  </si>
  <si>
    <t>Crank power 1</t>
  </si>
  <si>
    <t>Crank power 2</t>
  </si>
  <si>
    <t>Crank power 3</t>
  </si>
  <si>
    <t>Crank power 4</t>
  </si>
  <si>
    <t>Crank power 5</t>
  </si>
  <si>
    <t>Crank power 6</t>
  </si>
  <si>
    <t>Crank power 7</t>
  </si>
  <si>
    <t>Crank power max</t>
  </si>
  <si>
    <t>m*m</t>
  </si>
  <si>
    <t>Ratio</t>
  </si>
  <si>
    <t>s  @</t>
  </si>
  <si>
    <t>Performance</t>
  </si>
  <si>
    <t>Sectional area</t>
  </si>
  <si>
    <t>Gearchange time</t>
  </si>
  <si>
    <t>km/h @</t>
  </si>
  <si>
    <t>V (km/h)</t>
  </si>
  <si>
    <t>0-</t>
  </si>
  <si>
    <t>Crank power 8</t>
  </si>
  <si>
    <t>Actual top speed</t>
  </si>
  <si>
    <t xml:space="preserve">km/h  </t>
  </si>
  <si>
    <t>Vmax</t>
  </si>
  <si>
    <t>Measured data</t>
  </si>
  <si>
    <t>m     (0.311)</t>
  </si>
  <si>
    <t>Calculated torque (crankshaft)</t>
  </si>
  <si>
    <t>TX efficiency</t>
  </si>
  <si>
    <t>Loss wheel-road</t>
  </si>
  <si>
    <t>(4.66%)</t>
  </si>
  <si>
    <t>(4.62%)</t>
  </si>
  <si>
    <t>(8.06%)</t>
  </si>
  <si>
    <t>Net tractive effort @ road [N] - exlcudes resistances</t>
  </si>
  <si>
    <t>Crank power 9</t>
  </si>
  <si>
    <t>Crank power 10</t>
  </si>
  <si>
    <t>Crank power 11</t>
  </si>
  <si>
    <t>torque</t>
  </si>
  <si>
    <t>Total</t>
  </si>
  <si>
    <t>Elasticity index</t>
  </si>
  <si>
    <t>P road</t>
  </si>
  <si>
    <t>TE net</t>
  </si>
  <si>
    <t>Pmax on TE scale</t>
  </si>
  <si>
    <t>Mauve = enter</t>
  </si>
  <si>
    <t>Red = change up</t>
  </si>
  <si>
    <t>© 2001 Keith Tynan</t>
  </si>
  <si>
    <t>Source:</t>
  </si>
  <si>
    <t>speed/rpm</t>
  </si>
  <si>
    <t>Tmax on P scale</t>
  </si>
  <si>
    <t>Pcopy</t>
  </si>
  <si>
    <t>T copy</t>
  </si>
  <si>
    <t>Tmax</t>
  </si>
  <si>
    <t>Pm</t>
  </si>
  <si>
    <t>P net</t>
  </si>
  <si>
    <t>gearchange</t>
  </si>
  <si>
    <t>lit   (25 max)</t>
  </si>
  <si>
    <t>Test data</t>
  </si>
  <si>
    <t>Das Motorrad 1991/08/17 = 12.1s/110mph</t>
  </si>
  <si>
    <t>Das Motorrad 1991/08/17 &amp; Triumph Inspektionshandbuch 1991</t>
  </si>
  <si>
    <t>1994 Triumph Trophy 3</t>
  </si>
  <si>
    <t>1996 Triumph Speed III - Bonz</t>
  </si>
  <si>
    <t>Gear 6 represents 5th</t>
  </si>
  <si>
    <t>%Improvement</t>
  </si>
  <si>
    <t>Power</t>
  </si>
  <si>
    <t>0-60 mph</t>
  </si>
  <si>
    <t>Torque</t>
  </si>
  <si>
    <t>0-100 mph</t>
  </si>
  <si>
    <t xml:space="preserve">ss 1/4 </t>
  </si>
  <si>
    <t>Elasticity</t>
  </si>
  <si>
    <t>Trophy 3</t>
  </si>
  <si>
    <t>Speed III*</t>
  </si>
  <si>
    <t>Bonz dyno data &amp; Triumph Inspektionshandbuch 1991 &amp; Triumph brochure 1995</t>
  </si>
  <si>
    <t>*Remus silencer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</si>
</sst>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0.0000000000"/>
    <numFmt numFmtId="189" formatCode="0.0%"/>
    <numFmt numFmtId="190" formatCode="#\ ???/???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.75"/>
      <name val="Arial"/>
      <family val="0"/>
    </font>
    <font>
      <b/>
      <sz val="10.5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4" fontId="0" fillId="2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4" fontId="0" fillId="0" borderId="5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189" fontId="0" fillId="0" borderId="0" xfId="59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0" xfId="59" applyNumberFormat="1" applyFill="1" applyBorder="1" applyAlignment="1">
      <alignment/>
    </xf>
    <xf numFmtId="49" fontId="0" fillId="0" borderId="0" xfId="59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10" fontId="0" fillId="2" borderId="0" xfId="59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1" fillId="6" borderId="10" xfId="0" applyNumberFormat="1" applyFont="1" applyFill="1" applyBorder="1" applyAlignment="1">
      <alignment/>
    </xf>
    <xf numFmtId="1" fontId="0" fillId="4" borderId="9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174" fontId="0" fillId="4" borderId="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/>
    </xf>
    <xf numFmtId="189" fontId="20" fillId="0" borderId="0" xfId="59" applyNumberFormat="1" applyFont="1" applyAlignment="1">
      <alignment/>
    </xf>
    <xf numFmtId="2" fontId="0" fillId="0" borderId="0" xfId="0" applyNumberFormat="1" applyAlignment="1">
      <alignment/>
    </xf>
    <xf numFmtId="189" fontId="21" fillId="0" borderId="0" xfId="59" applyNumberFormat="1" applyFont="1" applyAlignment="1">
      <alignment/>
    </xf>
  </cellXfs>
  <cellStyles count="46">
    <cellStyle name="Normal" xfId="0"/>
    <cellStyle name="Comma" xfId="15"/>
    <cellStyle name="Comma [0]" xfId="16"/>
    <cellStyle name="Comma [0]_1997_CBR600F-Clay" xfId="17"/>
    <cellStyle name="Comma [0]_CBR600F" xfId="18"/>
    <cellStyle name="Comma [0]_CBR600F-Quill" xfId="19"/>
    <cellStyle name="Comma [0]_Combined ST.xls Chart 1-1" xfId="20"/>
    <cellStyle name="Comma [0]_Combined ST.xls Chart 2-1" xfId="21"/>
    <cellStyle name="Comma [0]_Dynamics" xfId="22"/>
    <cellStyle name="Comma [0]_T300.XLS Chart 1" xfId="23"/>
    <cellStyle name="Comma [0]_T300.XLS Chart 2" xfId="24"/>
    <cellStyle name="Comma [0]_T300.XLS Chart 3" xfId="25"/>
    <cellStyle name="Comma_1997_CBR600F-Clay" xfId="26"/>
    <cellStyle name="Comma_CBR600F" xfId="27"/>
    <cellStyle name="Comma_CBR600F-Quill" xfId="28"/>
    <cellStyle name="Comma_Combined ST.xls Chart 1-1" xfId="29"/>
    <cellStyle name="Comma_Combined ST.xls Chart 2-1" xfId="30"/>
    <cellStyle name="Comma_Dynamics" xfId="31"/>
    <cellStyle name="Comma_T300.XLS Chart 1" xfId="32"/>
    <cellStyle name="Comma_T300.XLS Chart 2" xfId="33"/>
    <cellStyle name="Comma_T300.XLS Chart 3" xfId="34"/>
    <cellStyle name="Currency" xfId="35"/>
    <cellStyle name="Currency [0]" xfId="36"/>
    <cellStyle name="Currency [0]_1997_CBR600F-Clay" xfId="37"/>
    <cellStyle name="Currency [0]_CBR600F" xfId="38"/>
    <cellStyle name="Currency [0]_CBR600F-Quill" xfId="39"/>
    <cellStyle name="Currency [0]_Combined ST.xls Chart 1-1" xfId="40"/>
    <cellStyle name="Currency [0]_Combined ST.xls Chart 2-1" xfId="41"/>
    <cellStyle name="Currency [0]_Dynamics" xfId="42"/>
    <cellStyle name="Currency [0]_T300.XLS Chart 1" xfId="43"/>
    <cellStyle name="Currency [0]_T300.XLS Chart 2" xfId="44"/>
    <cellStyle name="Currency [0]_T300.XLS Chart 3" xfId="45"/>
    <cellStyle name="Currency_1997_CBR600F-Clay" xfId="46"/>
    <cellStyle name="Currency_CBR600F" xfId="47"/>
    <cellStyle name="Currency_CBR600F-Quill" xfId="48"/>
    <cellStyle name="Currency_Combined ST.xls Chart 1-1" xfId="49"/>
    <cellStyle name="Currency_Combined ST.xls Chart 2-1" xfId="50"/>
    <cellStyle name="Currency_Dynamics" xfId="51"/>
    <cellStyle name="Currency_T300.XLS Chart 1" xfId="52"/>
    <cellStyle name="Currency_T300.XLS Chart 2" xfId="53"/>
    <cellStyle name="Currency_T300.XLS Chart 3" xfId="54"/>
    <cellStyle name="Normal_Dynamics" xfId="55"/>
    <cellStyle name="Normal_T300.XLS Chart 1" xfId="56"/>
    <cellStyle name="Normal_T300.XLS Chart 2" xfId="57"/>
    <cellStyle name="Normal_T300.XLS Chart 3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/>
            </c:numRef>
          </c:xVal>
          <c:yVal>
            <c:numRef>
              <c:f>'1994 Triumph Trophy 3'!$C$62:$C$69</c:f>
              <c:numCache/>
            </c:numRef>
          </c:yVal>
          <c:smooth val="1"/>
        </c:ser>
        <c:axId val="9600298"/>
        <c:axId val="19293819"/>
      </c:scatterChart>
      <c:valAx>
        <c:axId val="960029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 val="autoZero"/>
        <c:crossBetween val="midCat"/>
        <c:dispUnits/>
        <c:majorUnit val="1"/>
      </c:valAx>
      <c:valAx>
        <c:axId val="192938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Bonz'!$I$112:$I$135</c:f>
              <c:numCache/>
            </c:numRef>
          </c:xVal>
          <c:yVal>
            <c:numRef>
              <c:f>'1996 Triumph Speed III - Bonz'!$A$112:$A$135</c:f>
              <c:numCache/>
            </c:numRef>
          </c:yVal>
          <c:smooth val="1"/>
        </c:ser>
        <c:axId val="10675236"/>
        <c:axId val="28968261"/>
      </c:scatterChart>
      <c:valAx>
        <c:axId val="10675236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crossBetween val="midCat"/>
        <c:dispUnits/>
        <c:majorUnit val="1"/>
        <c:minorUnit val="1"/>
      </c:valAx>
      <c:valAx>
        <c:axId val="2896826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'1996 Triumph Speed III - Bonz'!$A$112:$A$135</c:f>
              <c:numCache/>
            </c:numRef>
          </c:xVal>
          <c:yVal>
            <c:numRef>
              <c:f>'1996 Triumph Speed III - Bonz'!$F$112:$F$135</c:f>
              <c:numCache/>
            </c:numRef>
          </c:yVal>
          <c:smooth val="1"/>
        </c:ser>
        <c:axId val="59387758"/>
        <c:axId val="64727775"/>
      </c:scatterChart>
      <c:valAx>
        <c:axId val="5938775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 val="autoZero"/>
        <c:crossBetween val="midCat"/>
        <c:dispUnits/>
      </c:valAx>
      <c:valAx>
        <c:axId val="647277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Bonz'!$D$62:$D$69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Bonz'!$E$62:$E$69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Bonz'!$F$62:$F$69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Bonz'!$G$62:$G$69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'1996 Triumph Speed III - Bonz'!$I$62:$I$69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5"/>
          <c:order val="5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Bonz'!$B$107:$B$108</c:f>
              <c:numCache/>
            </c:numRef>
          </c:xVal>
          <c:yVal>
            <c:numRef>
              <c:f>'1996 Triumph Speed III - Bonz'!$C$107:$C$108</c:f>
              <c:numCache/>
            </c:numRef>
          </c:yVal>
          <c:smooth val="1"/>
        </c:ser>
        <c:ser>
          <c:idx val="6"/>
          <c:order val="6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Bonz'!$A$91:$A$103</c:f>
              <c:numCache/>
            </c:numRef>
          </c:xVal>
          <c:yVal>
            <c:numRef>
              <c:f>'1996 Triumph Speed III - Bonz'!$K$91:$K$103</c:f>
              <c:numCache/>
            </c:numRef>
          </c:yVal>
          <c:smooth val="1"/>
        </c:ser>
        <c:axId val="45679064"/>
        <c:axId val="8458393"/>
      </c:scatterChart>
      <c:valAx>
        <c:axId val="456790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crossBetween val="midCat"/>
        <c:dispUnits/>
        <c:majorUnit val="20"/>
      </c:valAx>
      <c:valAx>
        <c:axId val="8458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Power &amp; 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 Trophy 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'1994 Triumph Trophy 3'!$B$62:$B$69</c:f>
              <c:numCache>
                <c:ptCount val="8"/>
                <c:pt idx="0">
                  <c:v>24.858278145695362</c:v>
                </c:pt>
                <c:pt idx="1">
                  <c:v>33.82675496688742</c:v>
                </c:pt>
                <c:pt idx="2">
                  <c:v>44.12100662251655</c:v>
                </c:pt>
                <c:pt idx="3">
                  <c:v>55.50707284768212</c:v>
                </c:pt>
                <c:pt idx="4">
                  <c:v>64.00762913907285</c:v>
                </c:pt>
                <c:pt idx="5">
                  <c:v>71.02643708609273</c:v>
                </c:pt>
                <c:pt idx="6">
                  <c:v>75.93960264900662</c:v>
                </c:pt>
                <c:pt idx="7">
                  <c:v>76.32953642384106</c:v>
                </c:pt>
              </c:numCache>
            </c:numRef>
          </c:yVal>
          <c:smooth val="1"/>
        </c:ser>
        <c:ser>
          <c:idx val="1"/>
          <c:order val="1"/>
          <c:tx>
            <c:v>T Trophy 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'1994 Triumph Trophy 3'!$C$62:$C$69</c:f>
              <c:numCache>
                <c:ptCount val="8"/>
                <c:pt idx="0">
                  <c:v>79.126356872813</c:v>
                </c:pt>
                <c:pt idx="1">
                  <c:v>80.75542892607683</c:v>
                </c:pt>
                <c:pt idx="2">
                  <c:v>84.26491557796511</c:v>
                </c:pt>
                <c:pt idx="3">
                  <c:v>88.34225020270536</c:v>
                </c:pt>
                <c:pt idx="4">
                  <c:v>87.31826205493955</c:v>
                </c:pt>
                <c:pt idx="5">
                  <c:v>84.78156414342878</c:v>
                </c:pt>
                <c:pt idx="6">
                  <c:v>80.57442092015863</c:v>
                </c:pt>
                <c:pt idx="7">
                  <c:v>75.14364758206501</c:v>
                </c:pt>
              </c:numCache>
            </c:numRef>
          </c:yVal>
          <c:smooth val="1"/>
        </c:ser>
        <c:ser>
          <c:idx val="2"/>
          <c:order val="2"/>
          <c:tx>
            <c:v>P Speed III*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'1996 Triumph Speed III - Bonz'!$B$62:$B$69</c:f>
              <c:numCache>
                <c:ptCount val="8"/>
                <c:pt idx="0">
                  <c:v>20.887999999999998</c:v>
                </c:pt>
                <c:pt idx="1">
                  <c:v>29.84</c:v>
                </c:pt>
                <c:pt idx="2">
                  <c:v>41.03</c:v>
                </c:pt>
                <c:pt idx="3">
                  <c:v>49.982</c:v>
                </c:pt>
                <c:pt idx="4">
                  <c:v>59.307</c:v>
                </c:pt>
                <c:pt idx="5">
                  <c:v>69.005</c:v>
                </c:pt>
                <c:pt idx="6">
                  <c:v>74.6</c:v>
                </c:pt>
                <c:pt idx="7">
                  <c:v>75.719</c:v>
                </c:pt>
              </c:numCache>
            </c:numRef>
          </c:yVal>
          <c:smooth val="1"/>
        </c:ser>
        <c:ser>
          <c:idx val="3"/>
          <c:order val="3"/>
          <c:tx>
            <c:v>T Speed III*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'1996 Triumph Speed III - Bonz'!$C$62:$C$69</c:f>
              <c:numCache>
                <c:ptCount val="8"/>
                <c:pt idx="0">
                  <c:v>66.48856902607018</c:v>
                </c:pt>
                <c:pt idx="1">
                  <c:v>71.23775252793236</c:v>
                </c:pt>
                <c:pt idx="2">
                  <c:v>78.3615277807256</c:v>
                </c:pt>
                <c:pt idx="3">
                  <c:v>79.54882365619112</c:v>
                </c:pt>
                <c:pt idx="4">
                  <c:v>80.90573322815175</c:v>
                </c:pt>
                <c:pt idx="5">
                  <c:v>82.36865136042178</c:v>
                </c:pt>
                <c:pt idx="6">
                  <c:v>79.15305836436929</c:v>
                </c:pt>
                <c:pt idx="7">
                  <c:v>74.54259671737252</c:v>
                </c:pt>
              </c:numCache>
            </c:numRef>
          </c:yVal>
          <c:smooth val="1"/>
        </c:ser>
        <c:axId val="9016674"/>
        <c:axId val="14041203"/>
      </c:scatterChart>
      <c:valAx>
        <c:axId val="9016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041203"/>
        <c:crosses val="autoZero"/>
        <c:crossBetween val="midCat"/>
        <c:dispUnits/>
        <c:minorUnit val="1"/>
      </c:valAx>
      <c:valAx>
        <c:axId val="14041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Power [kW] or Torque [N 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Trophy 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3'!$I$112:$I$134</c:f>
              <c:numCache>
                <c:ptCount val="23"/>
                <c:pt idx="0">
                  <c:v>0</c:v>
                </c:pt>
                <c:pt idx="1">
                  <c:v>0.853553645399736</c:v>
                </c:pt>
                <c:pt idx="2">
                  <c:v>1.13918096925118</c:v>
                </c:pt>
                <c:pt idx="3">
                  <c:v>1.426247496185891</c:v>
                </c:pt>
                <c:pt idx="4">
                  <c:v>1.7150928673442507</c:v>
                </c:pt>
                <c:pt idx="5">
                  <c:v>2.0095774720760007</c:v>
                </c:pt>
                <c:pt idx="6">
                  <c:v>2.315848504037704</c:v>
                </c:pt>
                <c:pt idx="7">
                  <c:v>2.642250260984535</c:v>
                </c:pt>
                <c:pt idx="8">
                  <c:v>2.8903860372931107</c:v>
                </c:pt>
                <c:pt idx="9">
                  <c:v>3.1403860372931107</c:v>
                </c:pt>
                <c:pt idx="10">
                  <c:v>3.1948523439014513</c:v>
                </c:pt>
                <c:pt idx="11">
                  <c:v>3.8419020444044305</c:v>
                </c:pt>
                <c:pt idx="12">
                  <c:v>4.549338396517401</c:v>
                </c:pt>
                <c:pt idx="13">
                  <c:v>5.101605577711547</c:v>
                </c:pt>
                <c:pt idx="14">
                  <c:v>5.351605577711547</c:v>
                </c:pt>
                <c:pt idx="15">
                  <c:v>5.701525574235279</c:v>
                </c:pt>
                <c:pt idx="16">
                  <c:v>7.033899186333095</c:v>
                </c:pt>
                <c:pt idx="17">
                  <c:v>8.13457960333639</c:v>
                </c:pt>
                <c:pt idx="18">
                  <c:v>8.38457960333639</c:v>
                </c:pt>
                <c:pt idx="19">
                  <c:v>10.702844021872952</c:v>
                </c:pt>
                <c:pt idx="20">
                  <c:v>13.179482176796204</c:v>
                </c:pt>
                <c:pt idx="21">
                  <c:v>13.429482176796204</c:v>
                </c:pt>
                <c:pt idx="22">
                  <c:v>15.105362245958297</c:v>
                </c:pt>
              </c:numCache>
            </c:numRef>
          </c:xVal>
          <c:yVal>
            <c:numRef>
              <c:f>'1994 Triumph Trophy 3'!$A$112:$A$134</c:f>
              <c:numCache>
                <c:ptCount val="23"/>
                <c:pt idx="0">
                  <c:v>0</c:v>
                </c:pt>
                <c:pt idx="1">
                  <c:v>28.195457212304085</c:v>
                </c:pt>
                <c:pt idx="2">
                  <c:v>37.59394294973878</c:v>
                </c:pt>
                <c:pt idx="3">
                  <c:v>46.99242868717347</c:v>
                </c:pt>
                <c:pt idx="4">
                  <c:v>56.39091442460817</c:v>
                </c:pt>
                <c:pt idx="5">
                  <c:v>65.78940016204287</c:v>
                </c:pt>
                <c:pt idx="6">
                  <c:v>75.18788589947756</c:v>
                </c:pt>
                <c:pt idx="7">
                  <c:v>84.58637163691225</c:v>
                </c:pt>
                <c:pt idx="8">
                  <c:v>91.16531165311653</c:v>
                </c:pt>
                <c:pt idx="9">
                  <c:v>91.16531165311653</c:v>
                </c:pt>
                <c:pt idx="10">
                  <c:v>92.34223914636287</c:v>
                </c:pt>
                <c:pt idx="11">
                  <c:v>105.53398759584327</c:v>
                </c:pt>
                <c:pt idx="12">
                  <c:v>118.72573604532369</c:v>
                </c:pt>
                <c:pt idx="13">
                  <c:v>127.95995995995996</c:v>
                </c:pt>
                <c:pt idx="14">
                  <c:v>127.95995995995996</c:v>
                </c:pt>
                <c:pt idx="15">
                  <c:v>132.97935898299755</c:v>
                </c:pt>
                <c:pt idx="16">
                  <c:v>149.60177885587225</c:v>
                </c:pt>
                <c:pt idx="17">
                  <c:v>161.23747276688454</c:v>
                </c:pt>
                <c:pt idx="18">
                  <c:v>161.23747276688454</c:v>
                </c:pt>
                <c:pt idx="19">
                  <c:v>178.99567675424015</c:v>
                </c:pt>
                <c:pt idx="20">
                  <c:v>192.91756272401437</c:v>
                </c:pt>
                <c:pt idx="21">
                  <c:v>192.91756272401437</c:v>
                </c:pt>
                <c:pt idx="22">
                  <c:v>200.37571592210764</c:v>
                </c:pt>
              </c:numCache>
            </c:numRef>
          </c:yVal>
          <c:smooth val="1"/>
        </c:ser>
        <c:ser>
          <c:idx val="1"/>
          <c:order val="1"/>
          <c:tx>
            <c:v>Speed III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Bonz'!$I$112:$I$136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0.8418056392277539</c:v>
                </c:pt>
                <c:pt idx="3">
                  <c:v>1.123474722585866</c:v>
                </c:pt>
                <c:pt idx="4">
                  <c:v>1.406527911568498</c:v>
                </c:pt>
                <c:pt idx="5">
                  <c:v>1.6912913698006091</c:v>
                </c:pt>
                <c:pt idx="6">
                  <c:v>1.9781028928538698</c:v>
                </c:pt>
                <c:pt idx="7">
                  <c:v>2.261997880394389</c:v>
                </c:pt>
                <c:pt idx="8">
                  <c:v>2.5607456371207276</c:v>
                </c:pt>
                <c:pt idx="9">
                  <c:v>2.7852497585364278</c:v>
                </c:pt>
                <c:pt idx="10">
                  <c:v>3.0352497585364278</c:v>
                </c:pt>
                <c:pt idx="11">
                  <c:v>3.0881952854405643</c:v>
                </c:pt>
                <c:pt idx="12">
                  <c:v>3.684382209799955</c:v>
                </c:pt>
                <c:pt idx="13">
                  <c:v>4.325797040567449</c:v>
                </c:pt>
                <c:pt idx="14">
                  <c:v>4.575797040567449</c:v>
                </c:pt>
                <c:pt idx="15">
                  <c:v>4.430037360813215</c:v>
                </c:pt>
                <c:pt idx="16">
                  <c:v>5.485774073305124</c:v>
                </c:pt>
                <c:pt idx="17">
                  <c:v>6.671019492947091</c:v>
                </c:pt>
                <c:pt idx="18">
                  <c:v>6.921019492947091</c:v>
                </c:pt>
                <c:pt idx="19">
                  <c:v>7.785391184613409</c:v>
                </c:pt>
                <c:pt idx="20">
                  <c:v>9.998965929030533</c:v>
                </c:pt>
                <c:pt idx="21">
                  <c:v>10.248965929030533</c:v>
                </c:pt>
                <c:pt idx="22">
                  <c:v>10.137834725808302</c:v>
                </c:pt>
                <c:pt idx="23">
                  <c:v>14.071572951293161</c:v>
                </c:pt>
                <c:pt idx="24">
                  <c:v>18.501084288886883</c:v>
                </c:pt>
              </c:numCache>
            </c:numRef>
          </c:xVal>
          <c:yVal>
            <c:numRef>
              <c:f>'1996 Triumph Speed III - Bonz'!$A$112:$A$136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27.1561478501383</c:v>
                </c:pt>
                <c:pt idx="3">
                  <c:v>36.208197133517736</c:v>
                </c:pt>
                <c:pt idx="4">
                  <c:v>45.26024641689717</c:v>
                </c:pt>
                <c:pt idx="5">
                  <c:v>54.3122957002766</c:v>
                </c:pt>
                <c:pt idx="6">
                  <c:v>63.36434498365604</c:v>
                </c:pt>
                <c:pt idx="7">
                  <c:v>72.41639426703547</c:v>
                </c:pt>
                <c:pt idx="8">
                  <c:v>81.46844355041489</c:v>
                </c:pt>
                <c:pt idx="9">
                  <c:v>87.8048780487805</c:v>
                </c:pt>
                <c:pt idx="10">
                  <c:v>87.8048780487805</c:v>
                </c:pt>
                <c:pt idx="11">
                  <c:v>88.93842295904153</c:v>
                </c:pt>
                <c:pt idx="12">
                  <c:v>101.64391195319031</c:v>
                </c:pt>
                <c:pt idx="13">
                  <c:v>114.34940094733909</c:v>
                </c:pt>
                <c:pt idx="14">
                  <c:v>114.34940094733909</c:v>
                </c:pt>
                <c:pt idx="15">
                  <c:v>112.06791995148576</c:v>
                </c:pt>
                <c:pt idx="16">
                  <c:v>128.077622801698</c:v>
                </c:pt>
                <c:pt idx="17">
                  <c:v>144.08732565191025</c:v>
                </c:pt>
                <c:pt idx="18">
                  <c:v>144.08732565191025</c:v>
                </c:pt>
                <c:pt idx="19">
                  <c:v>153.2424343199202</c:v>
                </c:pt>
                <c:pt idx="20">
                  <c:v>172.39773860991022</c:v>
                </c:pt>
                <c:pt idx="21">
                  <c:v>172.39773860991022</c:v>
                </c:pt>
                <c:pt idx="22">
                  <c:v>171.54639175257734</c:v>
                </c:pt>
                <c:pt idx="23">
                  <c:v>192.98969072164948</c:v>
                </c:pt>
                <c:pt idx="24">
                  <c:v>208</c:v>
                </c:pt>
              </c:numCache>
            </c:numRef>
          </c:yVal>
          <c:smooth val="1"/>
        </c:ser>
        <c:axId val="59261964"/>
        <c:axId val="63595629"/>
      </c:scatterChart>
      <c:valAx>
        <c:axId val="5926196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3595629"/>
        <c:crosses val="autoZero"/>
        <c:crossBetween val="midCat"/>
        <c:dispUnits/>
      </c:valAx>
      <c:valAx>
        <c:axId val="635956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6196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3'!$G$51:$G$52</c:f>
              <c:numCache/>
            </c:numRef>
          </c:yVal>
          <c:smooth val="1"/>
        </c:ser>
        <c:axId val="39426644"/>
        <c:axId val="19295477"/>
      </c:scatterChart>
      <c:valAx>
        <c:axId val="39426644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crossBetween val="midCat"/>
        <c:dispUnits/>
        <c:majorUnit val="1"/>
      </c:valAx>
      <c:valAx>
        <c:axId val="1929547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3'!$B$76:$B$87</c:f>
              <c:numCache/>
            </c:numRef>
          </c:xVal>
          <c:yVal>
            <c:numRef>
              <c:f>'1994 Triumph Trophy 3'!$C$76:$C$87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3'!$D$76:$D$87</c:f>
              <c:numCache/>
            </c:numRef>
          </c:xVal>
          <c:yVal>
            <c:numRef>
              <c:f>'1994 Triumph Trophy 3'!$E$76:$E$87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3'!$F$76:$F$87</c:f>
              <c:numCache/>
            </c:numRef>
          </c:xVal>
          <c:yVal>
            <c:numRef>
              <c:f>'1994 Triumph Trophy 3'!$G$76:$G$87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3'!$H$76:$H$87</c:f>
              <c:numCache/>
            </c:numRef>
          </c:xVal>
          <c:yVal>
            <c:numRef>
              <c:f>'1994 Triumph Trophy 3'!$I$76:$I$87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'1994 Triumph Trophy 3'!$J$75:$J$87</c:f>
              <c:numCache/>
            </c:numRef>
          </c:xVal>
          <c:yVal>
            <c:numRef>
              <c:f>'1994 Triumph Trophy 3'!$K$75:$K$87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3'!$L$76:$L$87</c:f>
              <c:numCache/>
            </c:numRef>
          </c:xVal>
          <c:yVal>
            <c:numRef>
              <c:f>'1994 Triumph Trophy 3'!$M$76:$M$87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3'!$A$91:$A$103</c:f>
              <c:numCache/>
            </c:numRef>
          </c:xVal>
          <c:yVal>
            <c:numRef>
              <c:f>'1994 Triumph Trophy 3'!$D$91:$D$103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3'!$B$107:$B$108</c:f>
              <c:numCache/>
            </c:numRef>
          </c:xVal>
          <c:yVal>
            <c:numRef>
              <c:f>'1994 Triumph Trophy 3'!$A$107:$A$108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3'!$A$94:$A$103</c:f>
              <c:numCache/>
            </c:numRef>
          </c:xVal>
          <c:yVal>
            <c:numRef>
              <c:f>'1994 Triumph Trophy 3'!$F$94:$F$103</c:f>
              <c:numCache/>
            </c:numRef>
          </c:yVal>
          <c:smooth val="1"/>
        </c:ser>
        <c:axId val="39441566"/>
        <c:axId val="19429775"/>
      </c:scatterChart>
      <c:valAx>
        <c:axId val="394415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29775"/>
        <c:crosses val="autoZero"/>
        <c:crossBetween val="midCat"/>
        <c:dispUnits/>
      </c:valAx>
      <c:valAx>
        <c:axId val="1942977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4156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3'!$I$112:$I$132</c:f>
              <c:numCache/>
            </c:numRef>
          </c:xVal>
          <c:yVal>
            <c:numRef>
              <c:f>'1994 Triumph Trophy 3'!$A$112:$A$132</c:f>
              <c:numCache/>
            </c:numRef>
          </c:yVal>
          <c:smooth val="1"/>
        </c:ser>
        <c:ser>
          <c:idx val="0"/>
          <c:order val="1"/>
          <c:tx>
            <c:v>Test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3'!$O$112:$O$119</c:f>
              <c:numCache/>
            </c:numRef>
          </c:xVal>
          <c:yVal>
            <c:numRef>
              <c:f>'1994 Triumph Trophy 3'!$N$112:$N$119</c:f>
              <c:numCache/>
            </c:numRef>
          </c:yVal>
          <c:smooth val="1"/>
        </c:ser>
        <c:axId val="40650248"/>
        <c:axId val="30307913"/>
      </c:scatterChart>
      <c:valAx>
        <c:axId val="40650248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crossBetween val="midCat"/>
        <c:dispUnits/>
        <c:minorUnit val="1"/>
      </c:valAx>
      <c:valAx>
        <c:axId val="3030791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65024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'1994 Triumph Trophy 3'!$A$112:$A$138</c:f>
              <c:numCache/>
            </c:numRef>
          </c:xVal>
          <c:yVal>
            <c:numRef>
              <c:f>'1994 Triumph Trophy 3'!$F$112:$F$138</c:f>
              <c:numCache/>
            </c:numRef>
          </c:yVal>
          <c:smooth val="1"/>
        </c:ser>
        <c:axId val="4335762"/>
        <c:axId val="39021859"/>
      </c:scatterChart>
      <c:val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crossBetween val="midCat"/>
        <c:dispUnits/>
      </c:valAx>
      <c:valAx>
        <c:axId val="39021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35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3'!$D$62:$D$69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3'!$E$62:$E$69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3'!$F$62:$F$69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3'!$G$62:$G$69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7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3'!$H$62:$H$69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'1994 Triumph Trophy 3'!$I$62:$I$69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3'!$B$107:$B$108</c:f>
              <c:numCache/>
            </c:numRef>
          </c:xVal>
          <c:yVal>
            <c:numRef>
              <c:f>'1994 Triumph Trophy 3'!$C$107:$C$108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3'!$A$91:$A$103</c:f>
              <c:numCache/>
            </c:numRef>
          </c:xVal>
          <c:yVal>
            <c:numRef>
              <c:f>'1994 Triumph Trophy 3'!$K$91:$K$103</c:f>
              <c:numCache/>
            </c:numRef>
          </c:yVal>
          <c:smooth val="1"/>
        </c:ser>
        <c:axId val="15652412"/>
        <c:axId val="6653981"/>
      </c:scatterChart>
      <c:valAx>
        <c:axId val="15652412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3981"/>
        <c:crosses val="autoZero"/>
        <c:crossBetween val="midCat"/>
        <c:dispUnits/>
        <c:majorUnit val="50"/>
      </c:valAx>
      <c:valAx>
        <c:axId val="66539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652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/>
            </c:numRef>
          </c:xVal>
          <c:yVal>
            <c:numRef>
              <c:f>'1996 Triumph Speed III - Bonz'!$C$62:$C$69</c:f>
              <c:numCache/>
            </c:numRef>
          </c:yVal>
          <c:smooth val="1"/>
        </c:ser>
        <c:axId val="59885830"/>
        <c:axId val="2101559"/>
      </c:scatterChart>
      <c:valAx>
        <c:axId val="59885830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 val="autoZero"/>
        <c:crossBetween val="midCat"/>
        <c:dispUnits/>
        <c:majorUnit val="1"/>
      </c:valAx>
      <c:valAx>
        <c:axId val="21015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88583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Bonz'!$G$51:$G$52</c:f>
              <c:numCache/>
            </c:numRef>
          </c:yVal>
          <c:smooth val="1"/>
        </c:ser>
        <c:axId val="18914032"/>
        <c:axId val="36008561"/>
      </c:scatterChart>
      <c:valAx>
        <c:axId val="1891403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008561"/>
        <c:crosses val="autoZero"/>
        <c:crossBetween val="midCat"/>
        <c:dispUnits/>
        <c:majorUnit val="1"/>
      </c:valAx>
      <c:valAx>
        <c:axId val="3600856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914032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Bonz'!$B$76:$B$87</c:f>
              <c:numCache/>
            </c:numRef>
          </c:xVal>
          <c:yVal>
            <c:numRef>
              <c:f>'1996 Triumph Speed III - Bonz'!$C$76:$C$87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Bonz'!$D$76:$D$87</c:f>
              <c:numCache/>
            </c:numRef>
          </c:xVal>
          <c:yVal>
            <c:numRef>
              <c:f>'1996 Triumph Speed III - Bonz'!$E$76:$E$87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Bonz'!$F$76:$F$87</c:f>
              <c:numCache/>
            </c:numRef>
          </c:xVal>
          <c:yVal>
            <c:numRef>
              <c:f>'1996 Triumph Speed III - Bonz'!$G$76:$G$87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Bonz'!$H$76:$H$87</c:f>
              <c:numCache/>
            </c:numRef>
          </c:xVal>
          <c:yVal>
            <c:numRef>
              <c:f>'1996 Triumph Speed III - Bonz'!$I$76:$I$87</c:f>
              <c:numCache/>
            </c:numRef>
          </c:yVal>
          <c:smooth val="1"/>
        </c:ser>
        <c:ser>
          <c:idx val="5"/>
          <c:order val="4"/>
          <c:tx>
            <c:v>#5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Bonz'!$L$76:$L$87</c:f>
              <c:numCache/>
            </c:numRef>
          </c:xVal>
          <c:yVal>
            <c:numRef>
              <c:f>'1996 Triumph Speed III - Bonz'!$M$76:$M$87</c:f>
              <c:numCache/>
            </c:numRef>
          </c:yVal>
          <c:smooth val="1"/>
        </c:ser>
        <c:ser>
          <c:idx val="6"/>
          <c:order val="5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Bonz'!$A$91:$A$103</c:f>
              <c:numCache/>
            </c:numRef>
          </c:xVal>
          <c:yVal>
            <c:numRef>
              <c:f>'1996 Triumph Speed III - Bonz'!$D$91:$D$103</c:f>
              <c:numCache/>
            </c:numRef>
          </c:yVal>
          <c:smooth val="1"/>
        </c:ser>
        <c:ser>
          <c:idx val="7"/>
          <c:order val="6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Bonz'!$B$107:$B$108</c:f>
              <c:numCache/>
            </c:numRef>
          </c:xVal>
          <c:yVal>
            <c:numRef>
              <c:f>'1996 Triumph Speed III - Bonz'!$A$107:$A$108</c:f>
              <c:numCache/>
            </c:numRef>
          </c:yVal>
          <c:smooth val="1"/>
        </c:ser>
        <c:ser>
          <c:idx val="8"/>
          <c:order val="7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Bonz'!$A$94:$A$103</c:f>
              <c:numCache/>
            </c:numRef>
          </c:xVal>
          <c:yVal>
            <c:numRef>
              <c:f>'1996 Triumph Speed III - Bonz'!$F$94:$F$103</c:f>
              <c:numCache/>
            </c:numRef>
          </c:yVal>
          <c:smooth val="1"/>
        </c:ser>
        <c:axId val="55641594"/>
        <c:axId val="31012299"/>
      </c:scatterChart>
      <c:valAx>
        <c:axId val="556415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crossBetween val="midCat"/>
        <c:dispUnits/>
      </c:valAx>
      <c:valAx>
        <c:axId val="31012299"/>
        <c:scaling>
          <c:orientation val="minMax"/>
          <c:max val="3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12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0292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49720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44027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44027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195387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7"/>
        <xdr:cNvGraphicFramePr/>
      </xdr:nvGraphicFramePr>
      <xdr:xfrm>
        <a:off x="1195387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504825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1450"/>
        <a:ext cx="5381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</xdr:row>
      <xdr:rowOff>19050</xdr:rowOff>
    </xdr:from>
    <xdr:to>
      <xdr:col>18</xdr:col>
      <xdr:colOff>19050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5467350" y="180975"/>
        <a:ext cx="5524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113</v>
      </c>
      <c r="D1" s="4" t="s">
        <v>100</v>
      </c>
      <c r="E1" s="5" t="s">
        <v>112</v>
      </c>
    </row>
    <row r="2" ht="12.75">
      <c r="A2" s="14" t="s">
        <v>99</v>
      </c>
    </row>
    <row r="3" spans="1:13" ht="13.5" thickBot="1">
      <c r="A3" s="4" t="s">
        <v>79</v>
      </c>
      <c r="D3" s="130"/>
      <c r="E3" s="62" t="s">
        <v>69</v>
      </c>
      <c r="F3" s="61"/>
      <c r="G3" s="61"/>
      <c r="H3" s="61"/>
      <c r="I3" s="61"/>
      <c r="J3" s="61"/>
      <c r="K3" s="62" t="s">
        <v>93</v>
      </c>
      <c r="L3" s="67"/>
      <c r="M3" s="63"/>
    </row>
    <row r="4" spans="1:13" ht="12.75">
      <c r="A4" s="41"/>
      <c r="B4" s="37" t="s">
        <v>13</v>
      </c>
      <c r="C4" s="36" t="s">
        <v>2</v>
      </c>
      <c r="D4" s="39" t="s">
        <v>74</v>
      </c>
      <c r="E4" s="64">
        <v>60</v>
      </c>
      <c r="F4" s="26" t="s">
        <v>18</v>
      </c>
      <c r="G4" s="131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3.400750744218205</v>
      </c>
      <c r="H4" s="64" t="s">
        <v>4</v>
      </c>
      <c r="I4" s="26"/>
      <c r="J4" s="26"/>
      <c r="K4" s="26" t="s">
        <v>2</v>
      </c>
      <c r="L4" s="132">
        <f>krpm11/krpm8</f>
        <v>1.5</v>
      </c>
      <c r="M4" s="75"/>
    </row>
    <row r="5" spans="1:13" ht="12.75">
      <c r="A5" s="18" t="s">
        <v>58</v>
      </c>
      <c r="B5" s="19"/>
      <c r="C5" s="42"/>
      <c r="D5" s="39" t="s">
        <v>74</v>
      </c>
      <c r="E5" s="64">
        <v>100</v>
      </c>
      <c r="F5" s="26" t="s">
        <v>18</v>
      </c>
      <c r="G5" s="131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8.102656310353392</v>
      </c>
      <c r="H5" s="64" t="s">
        <v>4</v>
      </c>
      <c r="I5" s="26"/>
      <c r="J5" s="26"/>
      <c r="K5" s="26" t="s">
        <v>91</v>
      </c>
      <c r="L5" s="132">
        <f>Torque8/Torque11</f>
        <v>1.0964056482670088</v>
      </c>
      <c r="M5" s="75"/>
    </row>
    <row r="6" spans="1:13" ht="12.75">
      <c r="A6" s="18" t="s">
        <v>59</v>
      </c>
      <c r="B6" s="19"/>
      <c r="C6" s="42"/>
      <c r="D6" s="26"/>
      <c r="E6" s="64" t="s">
        <v>51</v>
      </c>
      <c r="F6" s="26"/>
      <c r="G6" s="133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11.786712190539102</v>
      </c>
      <c r="H6" s="64" t="s">
        <v>68</v>
      </c>
      <c r="I6" s="134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115.03319288109638</v>
      </c>
      <c r="J6" s="64" t="s">
        <v>18</v>
      </c>
      <c r="K6" s="64" t="s">
        <v>92</v>
      </c>
      <c r="L6" s="150">
        <f>L4*L5</f>
        <v>1.6446084724005132</v>
      </c>
      <c r="M6" s="75"/>
    </row>
    <row r="7" spans="1:19" ht="12.75">
      <c r="A7" s="18" t="s">
        <v>60</v>
      </c>
      <c r="B7" s="19"/>
      <c r="C7" s="42"/>
      <c r="D7" s="110"/>
      <c r="E7" s="149" t="s">
        <v>111</v>
      </c>
      <c r="F7" s="110"/>
      <c r="G7" s="110"/>
      <c r="H7" s="135"/>
      <c r="I7" s="110"/>
      <c r="J7" s="110"/>
      <c r="K7" s="110"/>
      <c r="L7" s="77"/>
      <c r="M7" s="77"/>
      <c r="S7" s="38"/>
    </row>
    <row r="8" spans="1:4" ht="12.75">
      <c r="A8" s="18" t="s">
        <v>61</v>
      </c>
      <c r="B8" s="19"/>
      <c r="C8" s="42"/>
      <c r="D8" s="26"/>
    </row>
    <row r="9" spans="1:4" ht="12.75">
      <c r="A9" s="18" t="s">
        <v>62</v>
      </c>
      <c r="B9" s="19">
        <v>24.858278145695362</v>
      </c>
      <c r="C9" s="42">
        <v>3000</v>
      </c>
      <c r="D9" s="26"/>
    </row>
    <row r="10" spans="1:4" ht="12.75">
      <c r="A10" s="18" t="s">
        <v>63</v>
      </c>
      <c r="B10" s="19">
        <v>33.82675496688742</v>
      </c>
      <c r="C10" s="42">
        <v>4000</v>
      </c>
      <c r="D10" s="26"/>
    </row>
    <row r="11" spans="1:4" ht="12.75">
      <c r="A11" s="18" t="s">
        <v>64</v>
      </c>
      <c r="B11" s="19">
        <v>44.12100662251655</v>
      </c>
      <c r="C11" s="42">
        <v>5000</v>
      </c>
      <c r="D11" s="26"/>
    </row>
    <row r="12" spans="1:4" ht="12.75">
      <c r="A12" s="18" t="s">
        <v>75</v>
      </c>
      <c r="B12" s="19">
        <v>55.50707284768212</v>
      </c>
      <c r="C12" s="42">
        <v>6000</v>
      </c>
      <c r="D12" s="26"/>
    </row>
    <row r="13" spans="1:4" ht="12.75">
      <c r="A13" s="18" t="s">
        <v>88</v>
      </c>
      <c r="B13" s="19">
        <v>64.00762913907285</v>
      </c>
      <c r="C13" s="42">
        <v>7000</v>
      </c>
      <c r="D13" s="26"/>
    </row>
    <row r="14" spans="1:4" ht="12.75">
      <c r="A14" s="18" t="s">
        <v>89</v>
      </c>
      <c r="B14" s="19">
        <v>71.02643708609273</v>
      </c>
      <c r="C14" s="42">
        <v>8000</v>
      </c>
      <c r="D14" s="26"/>
    </row>
    <row r="15" spans="1:4" ht="12.75">
      <c r="A15" s="18" t="s">
        <v>90</v>
      </c>
      <c r="B15" s="19">
        <v>75.93960264900662</v>
      </c>
      <c r="C15" s="42">
        <v>9000</v>
      </c>
      <c r="D15" s="26"/>
    </row>
    <row r="16" spans="1:4" ht="13.5" thickBot="1">
      <c r="A16" s="21" t="s">
        <v>65</v>
      </c>
      <c r="B16" s="22">
        <v>76.32953642384106</v>
      </c>
      <c r="C16" s="43">
        <v>9700</v>
      </c>
      <c r="D16" s="26" t="s">
        <v>20</v>
      </c>
    </row>
    <row r="17" spans="1:5" ht="12.75">
      <c r="A17" s="118" t="s">
        <v>33</v>
      </c>
      <c r="B17" s="123">
        <v>0.24</v>
      </c>
      <c r="C17" s="17"/>
      <c r="D17" s="17"/>
      <c r="E17" s="15"/>
    </row>
    <row r="18" spans="1:5" ht="12.75">
      <c r="A18" s="18" t="s">
        <v>70</v>
      </c>
      <c r="B18" s="124">
        <v>1</v>
      </c>
      <c r="C18" s="26" t="s">
        <v>66</v>
      </c>
      <c r="D18" s="26"/>
      <c r="E18" s="20"/>
    </row>
    <row r="19" spans="1:5" ht="12.75">
      <c r="A19" s="18" t="s">
        <v>71</v>
      </c>
      <c r="B19" s="124">
        <v>0.25</v>
      </c>
      <c r="C19" s="26" t="s">
        <v>4</v>
      </c>
      <c r="D19" s="26"/>
      <c r="E19" s="20"/>
    </row>
    <row r="20" spans="1:5" ht="12.75">
      <c r="A20" s="18" t="s">
        <v>23</v>
      </c>
      <c r="B20" s="125">
        <v>0.0466</v>
      </c>
      <c r="C20" s="126" t="s">
        <v>84</v>
      </c>
      <c r="D20" s="26"/>
      <c r="E20" s="20"/>
    </row>
    <row r="21" spans="1:5" ht="12.75">
      <c r="A21" s="18" t="s">
        <v>24</v>
      </c>
      <c r="B21" s="137">
        <v>0.0462</v>
      </c>
      <c r="C21" s="126" t="s">
        <v>85</v>
      </c>
      <c r="D21" s="26"/>
      <c r="E21" s="20"/>
    </row>
    <row r="22" spans="1:5" ht="12.75">
      <c r="A22" s="18" t="s">
        <v>83</v>
      </c>
      <c r="B22" s="137">
        <v>0.0806</v>
      </c>
      <c r="C22" s="126" t="s">
        <v>86</v>
      </c>
      <c r="D22" s="26"/>
      <c r="E22" s="20"/>
    </row>
    <row r="23" spans="1:5" ht="12.75">
      <c r="A23" s="18" t="s">
        <v>36</v>
      </c>
      <c r="B23" s="119">
        <v>0</v>
      </c>
      <c r="C23" s="26" t="s">
        <v>6</v>
      </c>
      <c r="D23" s="26"/>
      <c r="E23" s="20"/>
    </row>
    <row r="24" spans="1:5" ht="12.75">
      <c r="A24" s="18" t="s">
        <v>22</v>
      </c>
      <c r="B24" s="119">
        <v>90</v>
      </c>
      <c r="C24" s="26" t="s">
        <v>6</v>
      </c>
      <c r="D24" s="26"/>
      <c r="E24" s="20"/>
    </row>
    <row r="25" spans="1:5" ht="12.75">
      <c r="A25" s="18" t="s">
        <v>12</v>
      </c>
      <c r="B25" s="119">
        <v>232</v>
      </c>
      <c r="C25" s="26" t="s">
        <v>72</v>
      </c>
      <c r="D25" s="119">
        <v>9700</v>
      </c>
      <c r="E25" s="20" t="s">
        <v>2</v>
      </c>
    </row>
    <row r="26" spans="1:5" ht="13.5" thickBot="1">
      <c r="A26" s="21" t="s">
        <v>76</v>
      </c>
      <c r="B26" s="127">
        <v>232</v>
      </c>
      <c r="C26" s="128" t="s">
        <v>77</v>
      </c>
      <c r="D26" s="129">
        <f>Vmax_actual/1.609</f>
        <v>144.188937228092</v>
      </c>
      <c r="E26" s="23" t="s">
        <v>18</v>
      </c>
    </row>
    <row r="27" ht="12.75"/>
    <row r="28" ht="13.5" thickBot="1">
      <c r="A28" s="4" t="s">
        <v>19</v>
      </c>
    </row>
    <row r="29" spans="1:4" ht="12.75">
      <c r="A29" s="16"/>
      <c r="B29" s="17" t="s">
        <v>9</v>
      </c>
      <c r="C29" s="17" t="s">
        <v>10</v>
      </c>
      <c r="D29" s="15" t="s">
        <v>67</v>
      </c>
    </row>
    <row r="30" spans="1:4" ht="12.75">
      <c r="A30" s="24" t="s">
        <v>25</v>
      </c>
      <c r="B30" s="44">
        <v>105</v>
      </c>
      <c r="C30" s="44">
        <v>60</v>
      </c>
      <c r="D30" s="20"/>
    </row>
    <row r="31" spans="1:4" ht="12.75">
      <c r="A31" s="24" t="s">
        <v>26</v>
      </c>
      <c r="B31" s="44">
        <v>41</v>
      </c>
      <c r="C31" s="44">
        <v>15</v>
      </c>
      <c r="D31" s="34">
        <f>Crown_p/Pinion_p*Crown_1/Pinion_1*Crown_f/Pinion_f</f>
        <v>12.099019607843138</v>
      </c>
    </row>
    <row r="32" spans="1:4" ht="12.75">
      <c r="A32" s="24" t="s">
        <v>27</v>
      </c>
      <c r="B32" s="44">
        <v>37</v>
      </c>
      <c r="C32" s="44">
        <v>19</v>
      </c>
      <c r="D32" s="34">
        <f>Crown_p/Pinion_p*Crown_2/Pinion_2*Crown_f/Pinion_f</f>
        <v>8.619969040247678</v>
      </c>
    </row>
    <row r="33" spans="1:4" ht="12.75">
      <c r="A33" s="24" t="s">
        <v>28</v>
      </c>
      <c r="B33" s="44">
        <v>34</v>
      </c>
      <c r="C33" s="44">
        <v>22</v>
      </c>
      <c r="D33" s="34">
        <f>Crown_p/Pinion_p*Crown_3/Pinion_3*Crown_f/Pinion_f</f>
        <v>6.840909090909091</v>
      </c>
    </row>
    <row r="34" spans="1:4" ht="12.75">
      <c r="A34" s="24" t="s">
        <v>29</v>
      </c>
      <c r="B34" s="44">
        <v>31</v>
      </c>
      <c r="C34" s="44">
        <v>24</v>
      </c>
      <c r="D34" s="34">
        <f>Crown_p/Pinion_p*Crown_4/Pinion_4*Crown_f/Pinion_f</f>
        <v>5.717524509803921</v>
      </c>
    </row>
    <row r="35" spans="1:4" ht="12.75">
      <c r="A35" s="24" t="s">
        <v>30</v>
      </c>
      <c r="B35" s="44">
        <v>30</v>
      </c>
      <c r="C35" s="44">
        <v>26</v>
      </c>
      <c r="D35" s="34">
        <f>Crown_p/Pinion_p*Crown_5/Pinion_5*Crown_f/Pinion_f</f>
        <v>5.107466063348417</v>
      </c>
    </row>
    <row r="36" spans="1:4" ht="12.75">
      <c r="A36" s="24" t="s">
        <v>31</v>
      </c>
      <c r="B36" s="44">
        <v>29</v>
      </c>
      <c r="C36" s="44">
        <v>27</v>
      </c>
      <c r="D36" s="34">
        <f>Crown_p/Pinion_p*Crown_6/Pinion_6*Crown_f/Pinion_f</f>
        <v>4.754357298474946</v>
      </c>
    </row>
    <row r="37" spans="1:4" ht="13.5" thickBot="1">
      <c r="A37" s="25" t="s">
        <v>32</v>
      </c>
      <c r="B37" s="45">
        <v>43</v>
      </c>
      <c r="C37" s="45">
        <v>17</v>
      </c>
      <c r="D37" s="23"/>
    </row>
    <row r="38" spans="1:3" ht="12.75">
      <c r="A38" s="118" t="s">
        <v>21</v>
      </c>
      <c r="B38" s="138">
        <v>217</v>
      </c>
      <c r="C38" s="139" t="s">
        <v>6</v>
      </c>
    </row>
    <row r="39" spans="1:3" ht="12.75">
      <c r="A39" s="18" t="s">
        <v>34</v>
      </c>
      <c r="B39" s="140">
        <v>10</v>
      </c>
      <c r="C39" s="141" t="s">
        <v>109</v>
      </c>
    </row>
    <row r="40" spans="1:3" ht="12.75">
      <c r="A40" s="18" t="s">
        <v>56</v>
      </c>
      <c r="B40" s="91">
        <v>3.75</v>
      </c>
      <c r="C40" s="141" t="s">
        <v>37</v>
      </c>
    </row>
    <row r="41" spans="1:3" ht="12.75">
      <c r="A41" s="18" t="s">
        <v>57</v>
      </c>
      <c r="B41" s="142">
        <f>0.608*2</f>
        <v>1.216</v>
      </c>
      <c r="C41" s="141" t="s">
        <v>37</v>
      </c>
    </row>
    <row r="42" spans="1:3" ht="12.75">
      <c r="A42" s="18" t="s">
        <v>35</v>
      </c>
      <c r="B42" s="143">
        <v>2.8</v>
      </c>
      <c r="C42" s="141" t="s">
        <v>37</v>
      </c>
    </row>
    <row r="43" spans="1:3" ht="12.75">
      <c r="A43" s="18" t="s">
        <v>38</v>
      </c>
      <c r="B43" s="94">
        <f>SUM(M_bike,V_fuel*0.7,(V_oil+V_fork)*0.9,V_water,M_accessories,M_rider)</f>
        <v>321.2694</v>
      </c>
      <c r="C43" s="141" t="s">
        <v>6</v>
      </c>
    </row>
    <row r="44" spans="1:3" ht="12.75">
      <c r="A44" s="18" t="s">
        <v>82</v>
      </c>
      <c r="B44" s="120">
        <f>(1-Loss_crank_gearbox)*(1-Loss_gearbox_wheel)*(1-Loss_wheel_road)</f>
        <v>0.836059074648</v>
      </c>
      <c r="C44" s="20"/>
    </row>
    <row r="45" spans="1:3" ht="12.75">
      <c r="A45" s="18" t="s">
        <v>39</v>
      </c>
      <c r="B45" s="121">
        <f>Gearing_v*1000/3600/(Gearing_rpm/Ratio6/60*2*PI())</f>
        <v>0.3016316768803052</v>
      </c>
      <c r="C45" s="20" t="s">
        <v>80</v>
      </c>
    </row>
    <row r="46" spans="1:3" ht="12.75">
      <c r="A46" s="18" t="s">
        <v>45</v>
      </c>
      <c r="B46" s="92">
        <f>vmax6*1000/3600</f>
        <v>64.44444444444444</v>
      </c>
      <c r="C46" s="20" t="s">
        <v>0</v>
      </c>
    </row>
    <row r="47" spans="1:3" ht="13.5" thickBot="1">
      <c r="A47" s="21" t="s">
        <v>46</v>
      </c>
      <c r="B47" s="122">
        <v>0</v>
      </c>
      <c r="C47" s="23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9" t="s">
        <v>11</v>
      </c>
      <c r="B49" s="50"/>
      <c r="C49" s="50"/>
      <c r="D49" s="50"/>
      <c r="E49" s="51"/>
      <c r="F49" s="50"/>
      <c r="G49" s="50"/>
      <c r="H49" s="52"/>
    </row>
    <row r="50" spans="1:8" s="4" customFormat="1" ht="12.75">
      <c r="A50" s="53" t="s">
        <v>7</v>
      </c>
      <c r="B50" s="54">
        <v>1</v>
      </c>
      <c r="C50" s="54">
        <v>2</v>
      </c>
      <c r="D50" s="54">
        <v>3</v>
      </c>
      <c r="E50" s="54">
        <v>4</v>
      </c>
      <c r="F50" s="54">
        <v>5</v>
      </c>
      <c r="G50" s="54">
        <v>6</v>
      </c>
      <c r="H50" s="55"/>
    </row>
    <row r="51" spans="1:14" ht="12.75">
      <c r="A51" s="56">
        <f>krpm0</f>
        <v>0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57"/>
      <c r="N51" s="35"/>
    </row>
    <row r="52" spans="1:14" ht="12.75">
      <c r="A52" s="58">
        <f>krpmMax</f>
        <v>9.7</v>
      </c>
      <c r="B52" s="59">
        <f>vmax6*Ratio6/Ratio1</f>
        <v>91.16531165311653</v>
      </c>
      <c r="C52" s="59">
        <f>vmax6*Ratio6/Ratio2</f>
        <v>127.95995995995996</v>
      </c>
      <c r="D52" s="59">
        <f>vmax6*Ratio6/Ratio3</f>
        <v>161.23747276688454</v>
      </c>
      <c r="E52" s="59">
        <f>vmax6*Ratio6/Ratio4</f>
        <v>192.91756272401437</v>
      </c>
      <c r="F52" s="59">
        <f>vmax6*Ratio6/Ratio5</f>
        <v>215.96049382716046</v>
      </c>
      <c r="G52" s="59">
        <f>rpmMax/Gearing_rpm*Gearing_v</f>
        <v>232</v>
      </c>
      <c r="H52" s="60" t="s">
        <v>1</v>
      </c>
      <c r="N52" s="35"/>
    </row>
    <row r="53" ht="12.75"/>
    <row r="54" spans="2:9" ht="12.75">
      <c r="B54" s="49" t="s">
        <v>81</v>
      </c>
      <c r="C54" s="111"/>
      <c r="D54" s="136"/>
      <c r="E54" s="136"/>
      <c r="F54" s="61"/>
      <c r="G54" s="61"/>
      <c r="H54" s="61"/>
      <c r="I54" s="63"/>
    </row>
    <row r="55" spans="1:10" ht="12.75">
      <c r="A55" s="10" t="s">
        <v>7</v>
      </c>
      <c r="B55" s="53" t="s">
        <v>106</v>
      </c>
      <c r="C55" s="55" t="s">
        <v>8</v>
      </c>
      <c r="D55" s="50"/>
      <c r="E55" s="61"/>
      <c r="F55" s="50" t="s">
        <v>101</v>
      </c>
      <c r="G55" s="62"/>
      <c r="H55" s="61"/>
      <c r="I55" s="63"/>
      <c r="J55" s="12"/>
    </row>
    <row r="56" spans="1:10" ht="12.75">
      <c r="A56" s="12"/>
      <c r="B56" s="112" t="s">
        <v>13</v>
      </c>
      <c r="C56" s="113" t="s">
        <v>3</v>
      </c>
      <c r="D56" s="54">
        <v>1</v>
      </c>
      <c r="E56" s="64">
        <v>2</v>
      </c>
      <c r="F56" s="54">
        <v>3</v>
      </c>
      <c r="G56" s="64">
        <v>4</v>
      </c>
      <c r="H56" s="64">
        <v>5</v>
      </c>
      <c r="I56" s="65">
        <v>6</v>
      </c>
      <c r="J56" s="12"/>
    </row>
    <row r="57" spans="1:10" ht="12.75">
      <c r="A57" s="12">
        <v>0</v>
      </c>
      <c r="B57" s="114"/>
      <c r="C57" s="115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7">
        <v>0</v>
      </c>
      <c r="J57" s="27"/>
    </row>
    <row r="58" spans="1:10" ht="12.75">
      <c r="A58" s="12">
        <f>rpm1/1000</f>
        <v>0</v>
      </c>
      <c r="B58" s="114">
        <f>cPower1</f>
        <v>0</v>
      </c>
      <c r="C58" s="115" t="e">
        <f>Power1/(krpm1*1000/60*2*PI())*1000</f>
        <v>#DIV/0!</v>
      </c>
      <c r="D58" s="40">
        <f>krpm1/krpmMax*vmax1</f>
        <v>0</v>
      </c>
      <c r="E58" s="40">
        <f>krpm1/krpmMax*vmax2</f>
        <v>0</v>
      </c>
      <c r="F58" s="40">
        <f>krpm1/krpmMax*vmax3</f>
        <v>0</v>
      </c>
      <c r="G58" s="40">
        <f>krpm1/krpmMax*vmax4</f>
        <v>0</v>
      </c>
      <c r="H58" s="40">
        <f>krpm1/krpmMax*vmax5</f>
        <v>0</v>
      </c>
      <c r="I58" s="47">
        <f>krpm1/krpmMax*vmax6</f>
        <v>0</v>
      </c>
      <c r="J58" s="27"/>
    </row>
    <row r="59" spans="1:10" ht="12.75">
      <c r="A59" s="12">
        <f>rpm2/1000</f>
        <v>0</v>
      </c>
      <c r="B59" s="114">
        <f>cPower2</f>
        <v>0</v>
      </c>
      <c r="C59" s="115" t="e">
        <f>Power2/(krpm2*1000/60*2*PI())*1000</f>
        <v>#DIV/0!</v>
      </c>
      <c r="D59" s="40">
        <f>krpm2/krpmMax*vmax1</f>
        <v>0</v>
      </c>
      <c r="E59" s="40">
        <f>krpm2/krpmMax*vmax2</f>
        <v>0</v>
      </c>
      <c r="F59" s="40">
        <f>krpm2/krpmMax*vmax3</f>
        <v>0</v>
      </c>
      <c r="G59" s="40">
        <f>krpm2/krpmMax*vmax4</f>
        <v>0</v>
      </c>
      <c r="H59" s="40">
        <f>krpm2/krpmMax*vmax5</f>
        <v>0</v>
      </c>
      <c r="I59" s="47">
        <f>krpm2/krpmMax*vmax6</f>
        <v>0</v>
      </c>
      <c r="J59" s="27"/>
    </row>
    <row r="60" spans="1:10" ht="12.75">
      <c r="A60" s="12">
        <f>rpm3/1000</f>
        <v>0</v>
      </c>
      <c r="B60" s="114">
        <f>cPower3</f>
        <v>0</v>
      </c>
      <c r="C60" s="115" t="e">
        <f>Power3/(krpm3*1000/60*2*PI())*1000</f>
        <v>#DIV/0!</v>
      </c>
      <c r="D60" s="40">
        <f>krpm3/krpmMax*vmax1</f>
        <v>0</v>
      </c>
      <c r="E60" s="40">
        <f>krpm3/krpmMax*vmax2</f>
        <v>0</v>
      </c>
      <c r="F60" s="40">
        <f>krpm3/krpmMax*vmax3</f>
        <v>0</v>
      </c>
      <c r="G60" s="40">
        <f>krpm3/krpmMax*vmax4</f>
        <v>0</v>
      </c>
      <c r="H60" s="40">
        <f>krpm3/krpmMax*vmax5</f>
        <v>0</v>
      </c>
      <c r="I60" s="47">
        <f>krpm3/krpmMax*vmax6</f>
        <v>0</v>
      </c>
      <c r="J60" s="27"/>
    </row>
    <row r="61" spans="1:10" ht="12.75">
      <c r="A61" s="12">
        <f>rpm4/1000</f>
        <v>0</v>
      </c>
      <c r="B61" s="114">
        <f>cPower4</f>
        <v>0</v>
      </c>
      <c r="C61" s="115" t="e">
        <f>Power4/(krpm4*1000/60*2*PI())*1000</f>
        <v>#DIV/0!</v>
      </c>
      <c r="D61" s="40">
        <f>krpm4/krpmMax*vmax1</f>
        <v>0</v>
      </c>
      <c r="E61" s="40">
        <f>krpm4/krpmMax*vmax2</f>
        <v>0</v>
      </c>
      <c r="F61" s="40">
        <f>krpm4/krpmMax*vmax3</f>
        <v>0</v>
      </c>
      <c r="G61" s="40">
        <f>krpm4/krpmMax*vmax4</f>
        <v>0</v>
      </c>
      <c r="H61" s="40">
        <f>krpm4/krpmMax*vmax5</f>
        <v>0</v>
      </c>
      <c r="I61" s="47">
        <f>krpm4/krpmMax*vmax6</f>
        <v>0</v>
      </c>
      <c r="J61" s="27"/>
    </row>
    <row r="62" spans="1:10" ht="12.75">
      <c r="A62" s="12">
        <f>rpm5/1000</f>
        <v>3</v>
      </c>
      <c r="B62" s="114">
        <f>cPower5</f>
        <v>24.858278145695362</v>
      </c>
      <c r="C62" s="115">
        <f>Power5/(krpm5*1000/60*2*PI())*1000</f>
        <v>79.126356872813</v>
      </c>
      <c r="D62" s="40">
        <f>krpm5/krpmMax*vmax1</f>
        <v>28.195457212304085</v>
      </c>
      <c r="E62" s="40">
        <f>krpm5/krpmMax*vmax2</f>
        <v>39.57524534844123</v>
      </c>
      <c r="F62" s="40">
        <f>krpm5/krpmMax*vmax3</f>
        <v>49.86725961862408</v>
      </c>
      <c r="G62" s="40">
        <f>krpm5/krpmMax*vmax4</f>
        <v>59.665225584746715</v>
      </c>
      <c r="H62" s="40">
        <f>krpm5/krpmMax*vmax5</f>
        <v>66.79190530736922</v>
      </c>
      <c r="I62" s="47">
        <f>krpm5/krpmMax*vmax6</f>
        <v>71.75257731958763</v>
      </c>
      <c r="J62" s="27"/>
    </row>
    <row r="63" spans="1:10" ht="12.75">
      <c r="A63" s="12">
        <f>rpm6/1000</f>
        <v>4</v>
      </c>
      <c r="B63" s="114">
        <f>cPower6</f>
        <v>33.82675496688742</v>
      </c>
      <c r="C63" s="115">
        <f>Power6/(krpm6*1000/60*2*PI())*1000</f>
        <v>80.75542892607683</v>
      </c>
      <c r="D63" s="40">
        <f>krpm6/krpmMax*vmax1</f>
        <v>37.59394294973878</v>
      </c>
      <c r="E63" s="40">
        <f>krpm6/krpmMax*vmax2</f>
        <v>52.766993797921636</v>
      </c>
      <c r="F63" s="40">
        <f>krpm6/krpmMax*vmax3</f>
        <v>66.48967949149878</v>
      </c>
      <c r="G63" s="40">
        <f>krpm6/krpmMax*vmax4</f>
        <v>79.55363411299562</v>
      </c>
      <c r="H63" s="40">
        <f>krpm6/krpmMax*vmax5</f>
        <v>89.05587374315895</v>
      </c>
      <c r="I63" s="47">
        <f>krpm6/krpmMax*vmax6</f>
        <v>95.6701030927835</v>
      </c>
      <c r="J63" s="27"/>
    </row>
    <row r="64" spans="1:10" ht="12.75">
      <c r="A64" s="12">
        <f>rpm7/1000</f>
        <v>5</v>
      </c>
      <c r="B64" s="114">
        <f>cPower7</f>
        <v>44.12100662251655</v>
      </c>
      <c r="C64" s="115">
        <f>Power7/(krpm7*1000/60*2*PI())*1000</f>
        <v>84.26491557796511</v>
      </c>
      <c r="D64" s="40">
        <f>krpm7/krpmMax*vmax1</f>
        <v>46.99242868717347</v>
      </c>
      <c r="E64" s="40">
        <f>krpm7/krpmMax*vmax2</f>
        <v>65.95874224740204</v>
      </c>
      <c r="F64" s="40">
        <f>krpm7/krpmMax*vmax3</f>
        <v>83.11209936437348</v>
      </c>
      <c r="G64" s="40">
        <f>krpm7/krpmMax*vmax4</f>
        <v>99.44204264124453</v>
      </c>
      <c r="H64" s="40">
        <f>krpm7/krpmMax*vmax5</f>
        <v>111.3198421789487</v>
      </c>
      <c r="I64" s="47">
        <f>krpm7/krpmMax*vmax6</f>
        <v>119.5876288659794</v>
      </c>
      <c r="J64" s="27"/>
    </row>
    <row r="65" spans="1:10" ht="12.75">
      <c r="A65" s="12">
        <f>rpm8/1000</f>
        <v>6</v>
      </c>
      <c r="B65" s="114">
        <f>cPower8</f>
        <v>55.50707284768212</v>
      </c>
      <c r="C65" s="115">
        <f>Power8/(krpm8*1000/60*2*PI())*1000</f>
        <v>88.34225020270536</v>
      </c>
      <c r="D65" s="40">
        <f>krpm8/krpmMax*vmax1</f>
        <v>56.39091442460817</v>
      </c>
      <c r="E65" s="40">
        <f>krpm8/krpmMax*vmax2</f>
        <v>79.15049069688246</v>
      </c>
      <c r="F65" s="40">
        <f>krpm8/krpmMax*vmax3</f>
        <v>99.73451923724816</v>
      </c>
      <c r="G65" s="40">
        <f>krpm8/krpmMax*vmax4</f>
        <v>119.33045116949343</v>
      </c>
      <c r="H65" s="40">
        <f>krpm8/krpmMax*vmax5</f>
        <v>133.58381061473844</v>
      </c>
      <c r="I65" s="47">
        <f>krpm8/krpmMax*vmax6</f>
        <v>143.50515463917526</v>
      </c>
      <c r="J65" s="27"/>
    </row>
    <row r="66" spans="1:10" ht="12.75">
      <c r="A66" s="12">
        <f>rpm9/1000</f>
        <v>7</v>
      </c>
      <c r="B66" s="114">
        <f>cPower9</f>
        <v>64.00762913907285</v>
      </c>
      <c r="C66" s="115">
        <f>Power9/(krpm9*1000/60*2*PI())*1000</f>
        <v>87.31826205493955</v>
      </c>
      <c r="D66" s="40">
        <f>krpm9/krpmMax*vmax1</f>
        <v>65.78940016204287</v>
      </c>
      <c r="E66" s="40">
        <f>krpm9/krpmMax*vmax2</f>
        <v>92.34223914636287</v>
      </c>
      <c r="F66" s="40">
        <f>krpm9/krpmMax*vmax3</f>
        <v>116.35693911012288</v>
      </c>
      <c r="G66" s="40">
        <f>krpm9/krpmMax*vmax4</f>
        <v>139.21885969774235</v>
      </c>
      <c r="H66" s="40">
        <f>krpm9/krpmMax*vmax5</f>
        <v>155.8477790505282</v>
      </c>
      <c r="I66" s="47">
        <f>krpm9/krpmMax*vmax6</f>
        <v>167.42268041237116</v>
      </c>
      <c r="J66" s="27"/>
    </row>
    <row r="67" spans="1:10" ht="12.75">
      <c r="A67" s="12">
        <f>rpm10/1000</f>
        <v>8</v>
      </c>
      <c r="B67" s="114">
        <f>cPower10</f>
        <v>71.02643708609273</v>
      </c>
      <c r="C67" s="115">
        <f>Power10/(krpm10*1000/60*2*PI())*1000</f>
        <v>84.78156414342878</v>
      </c>
      <c r="D67" s="40">
        <f>krpm10/krpmMax*vmax1</f>
        <v>75.18788589947756</v>
      </c>
      <c r="E67" s="40">
        <f>krpm10/krpmMax*vmax2</f>
        <v>105.53398759584327</v>
      </c>
      <c r="F67" s="40">
        <f>krpm10/krpmMax*vmax3</f>
        <v>132.97935898299755</v>
      </c>
      <c r="G67" s="40">
        <f>krpm10/krpmMax*vmax4</f>
        <v>159.10726822599125</v>
      </c>
      <c r="H67" s="40">
        <f>krpm10/krpmMax*vmax5</f>
        <v>178.1117474863179</v>
      </c>
      <c r="I67" s="47">
        <f>krpm10/krpmMax*vmax6</f>
        <v>191.340206185567</v>
      </c>
      <c r="J67" s="27"/>
    </row>
    <row r="68" spans="1:10" ht="12.75">
      <c r="A68" s="12">
        <f>rpm11/1000</f>
        <v>9</v>
      </c>
      <c r="B68" s="114">
        <f>cPower11</f>
        <v>75.93960264900662</v>
      </c>
      <c r="C68" s="115">
        <f>Power11/(krpm11*1000/60*2*PI())*1000</f>
        <v>80.57442092015863</v>
      </c>
      <c r="D68" s="40">
        <f>krpm11/krpmMax*vmax1</f>
        <v>84.58637163691225</v>
      </c>
      <c r="E68" s="40">
        <f>krpm11/krpmMax*vmax2</f>
        <v>118.72573604532369</v>
      </c>
      <c r="F68" s="40">
        <f>krpm11/krpmMax*vmax3</f>
        <v>149.60177885587225</v>
      </c>
      <c r="G68" s="40">
        <f>krpm11/krpmMax*vmax4</f>
        <v>178.99567675424015</v>
      </c>
      <c r="H68" s="40">
        <f>krpm11/krpmMax*vmax5</f>
        <v>200.37571592210764</v>
      </c>
      <c r="I68" s="47">
        <f>krpm11/krpmMax*vmax6</f>
        <v>215.2577319587629</v>
      </c>
      <c r="J68" s="27"/>
    </row>
    <row r="69" spans="1:10" ht="12.75">
      <c r="A69" s="12">
        <f>rpmMax/1000</f>
        <v>9.7</v>
      </c>
      <c r="B69" s="116">
        <f>cPowerRpmMax</f>
        <v>76.32953642384106</v>
      </c>
      <c r="C69" s="117">
        <f>PowerRpmMax/(krpmMax*1000/60*2*PI())*1000</f>
        <v>75.14364758206501</v>
      </c>
      <c r="D69" s="46">
        <f>vmax1</f>
        <v>91.16531165311653</v>
      </c>
      <c r="E69" s="46">
        <f>vmax2</f>
        <v>127.95995995995996</v>
      </c>
      <c r="F69" s="46">
        <f>vmax3</f>
        <v>161.23747276688454</v>
      </c>
      <c r="G69" s="46">
        <f>vmax4</f>
        <v>192.91756272401437</v>
      </c>
      <c r="H69" s="46">
        <f>vmax5</f>
        <v>215.96049382716046</v>
      </c>
      <c r="I69" s="48">
        <f>vmax6</f>
        <v>232</v>
      </c>
      <c r="J69" s="27"/>
    </row>
    <row r="70" spans="1:7" ht="12.75">
      <c r="A70" s="12"/>
      <c r="B70" s="27"/>
      <c r="C70" s="28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9" t="s">
        <v>87</v>
      </c>
      <c r="B72" s="50"/>
      <c r="C72" s="50"/>
      <c r="D72" s="50"/>
      <c r="E72" s="50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s="4" customFormat="1" ht="12.75">
      <c r="A73" s="107" t="s">
        <v>40</v>
      </c>
      <c r="B73" s="54">
        <v>1</v>
      </c>
      <c r="C73" s="54"/>
      <c r="D73" s="54">
        <v>2</v>
      </c>
      <c r="E73" s="54"/>
      <c r="F73" s="64">
        <v>3</v>
      </c>
      <c r="G73" s="64"/>
      <c r="H73" s="64">
        <v>4</v>
      </c>
      <c r="I73" s="64"/>
      <c r="J73" s="64">
        <v>5</v>
      </c>
      <c r="K73" s="64"/>
      <c r="L73" s="64">
        <v>6</v>
      </c>
      <c r="M73" s="64"/>
      <c r="N73" s="64"/>
      <c r="O73" s="65"/>
    </row>
    <row r="74" spans="1:15" s="4" customFormat="1" ht="12.75">
      <c r="A74" s="107" t="s">
        <v>7</v>
      </c>
      <c r="B74" s="54" t="s">
        <v>1</v>
      </c>
      <c r="C74" s="54" t="s">
        <v>14</v>
      </c>
      <c r="D74" s="54" t="s">
        <v>1</v>
      </c>
      <c r="E74" s="54" t="s">
        <v>14</v>
      </c>
      <c r="F74" s="54" t="s">
        <v>1</v>
      </c>
      <c r="G74" s="54" t="s">
        <v>14</v>
      </c>
      <c r="H74" s="54" t="s">
        <v>1</v>
      </c>
      <c r="I74" s="54" t="s">
        <v>14</v>
      </c>
      <c r="J74" s="54" t="s">
        <v>1</v>
      </c>
      <c r="K74" s="54" t="s">
        <v>14</v>
      </c>
      <c r="L74" s="54" t="s">
        <v>1</v>
      </c>
      <c r="M74" s="54" t="s">
        <v>14</v>
      </c>
      <c r="N74" s="64"/>
      <c r="O74" s="65"/>
    </row>
    <row r="75" spans="1:15" s="4" customFormat="1" ht="12.75">
      <c r="A75" s="107">
        <f>krpm0</f>
        <v>0</v>
      </c>
      <c r="B75" s="85">
        <f>krpm0/krpmMax*vmax1</f>
        <v>0</v>
      </c>
      <c r="C75" s="85"/>
      <c r="D75" s="85">
        <f>krpm0/krpmMax*vmax2</f>
        <v>0</v>
      </c>
      <c r="E75" s="85"/>
      <c r="F75" s="85">
        <f>krpm0/krpmMax*vmax3</f>
        <v>0</v>
      </c>
      <c r="G75" s="85"/>
      <c r="H75" s="85">
        <f>krpm0/krpmMax*vmax4</f>
        <v>0</v>
      </c>
      <c r="I75" s="85"/>
      <c r="J75" s="85">
        <f>krpm0/krpmMax*vmax5</f>
        <v>0</v>
      </c>
      <c r="K75" s="85"/>
      <c r="L75" s="85">
        <f>krpm0/krpmMax*vmax6</f>
        <v>0</v>
      </c>
      <c r="M75" s="85"/>
      <c r="N75" s="64"/>
      <c r="O75" s="65"/>
    </row>
    <row r="76" spans="1:15" ht="12.75">
      <c r="A76" s="53">
        <f>krpm1</f>
        <v>0</v>
      </c>
      <c r="B76" s="85">
        <f>krpm1/krpmMax*vmax1</f>
        <v>0</v>
      </c>
      <c r="C76" s="85"/>
      <c r="D76" s="85">
        <f>krpm1/krpmMax*vmax2</f>
        <v>0</v>
      </c>
      <c r="E76" s="85"/>
      <c r="F76" s="85">
        <f>krpm1/krpmMax*vmax3</f>
        <v>0</v>
      </c>
      <c r="G76" s="85"/>
      <c r="H76" s="85">
        <f>krpm1/krpmMax*vmax4</f>
        <v>0</v>
      </c>
      <c r="I76" s="85"/>
      <c r="J76" s="85">
        <f>krpm1/krpmMax*vmax5</f>
        <v>0</v>
      </c>
      <c r="K76" s="85"/>
      <c r="L76" s="85">
        <f>krpm1/krpmMax*vmax6</f>
        <v>0</v>
      </c>
      <c r="M76" s="85"/>
      <c r="N76" s="26"/>
      <c r="O76" s="75"/>
    </row>
    <row r="77" spans="1:15" ht="12.75">
      <c r="A77" s="53">
        <f>krpm2</f>
        <v>0</v>
      </c>
      <c r="B77" s="85">
        <f>krpm2/krpmMax*vmax1</f>
        <v>0</v>
      </c>
      <c r="C77" s="85"/>
      <c r="D77" s="85">
        <f>krpm2/krpmMax*vmax2</f>
        <v>0</v>
      </c>
      <c r="E77" s="85"/>
      <c r="F77" s="85">
        <f>krpm2/krpmMax*vmax3</f>
        <v>0</v>
      </c>
      <c r="G77" s="85"/>
      <c r="H77" s="85">
        <f>krpm2/krpmMax*vmax4</f>
        <v>0</v>
      </c>
      <c r="I77" s="85"/>
      <c r="J77" s="85">
        <f>krpm2/krpmMax*vmax5</f>
        <v>0</v>
      </c>
      <c r="K77" s="85"/>
      <c r="L77" s="85">
        <f>krpm2/krpmMax*vmax6</f>
        <v>0</v>
      </c>
      <c r="M77" s="85"/>
      <c r="N77" s="26"/>
      <c r="O77" s="75"/>
    </row>
    <row r="78" spans="1:15" ht="12.75">
      <c r="A78" s="53">
        <f>krpm3</f>
        <v>0</v>
      </c>
      <c r="B78" s="85">
        <f>krpm3/krpmMax*vmax1</f>
        <v>0</v>
      </c>
      <c r="C78" s="81"/>
      <c r="D78" s="81">
        <f>krpm3/krpmMax*vmax2</f>
        <v>0</v>
      </c>
      <c r="E78" s="81"/>
      <c r="F78" s="81">
        <f>krpm3/krpmMax*vmax3</f>
        <v>0</v>
      </c>
      <c r="G78" s="81"/>
      <c r="H78" s="81">
        <f>krpm3/krpmMax*vmax4</f>
        <v>0</v>
      </c>
      <c r="I78" s="81"/>
      <c r="J78" s="81">
        <f>krpm3/krpmMax*vmax5</f>
        <v>0</v>
      </c>
      <c r="K78" s="81"/>
      <c r="L78" s="81">
        <f>krpm3/krpmMax*vmax6</f>
        <v>0</v>
      </c>
      <c r="M78" s="81"/>
      <c r="N78" s="26"/>
      <c r="O78" s="75"/>
    </row>
    <row r="79" spans="1:15" ht="12.75">
      <c r="A79" s="53">
        <f>krpm4</f>
        <v>0</v>
      </c>
      <c r="B79" s="85">
        <f>krpm4/krpmMax*vmax1</f>
        <v>0</v>
      </c>
      <c r="C79" s="81"/>
      <c r="D79" s="81">
        <f>krpm4/krpmMax*vmax2</f>
        <v>0</v>
      </c>
      <c r="E79" s="81"/>
      <c r="F79" s="81">
        <f>krpm4/krpmMax*vmax3</f>
        <v>0</v>
      </c>
      <c r="G79" s="81"/>
      <c r="H79" s="81">
        <f>krpm4/krpmMax*vmax4</f>
        <v>0</v>
      </c>
      <c r="I79" s="81"/>
      <c r="J79" s="81">
        <f>krpm4/krpmMax*vmax5</f>
        <v>0</v>
      </c>
      <c r="K79" s="81"/>
      <c r="L79" s="81">
        <f>krpm4/krpmMax*vmax6</f>
        <v>0</v>
      </c>
      <c r="M79" s="81"/>
      <c r="N79" s="26"/>
      <c r="O79" s="75"/>
    </row>
    <row r="80" spans="1:15" ht="12.75">
      <c r="A80" s="53">
        <f>krpm5</f>
        <v>3</v>
      </c>
      <c r="B80" s="85">
        <f>krpm5/krpmMax*vmax1</f>
        <v>28.195457212304085</v>
      </c>
      <c r="C80" s="81">
        <f>Torque5*Ratio1*efficiency/r_wheel</f>
        <v>2653.575004031067</v>
      </c>
      <c r="D80" s="81">
        <f>krpm5/krpmMax*vmax2</f>
        <v>39.57524534844123</v>
      </c>
      <c r="E80" s="81">
        <f>Torque5*Ratio2*efficiency/r_wheel</f>
        <v>1890.5444508822104</v>
      </c>
      <c r="F80" s="81">
        <f>krpm5/krpmMax*vmax3</f>
        <v>49.86725961862408</v>
      </c>
      <c r="G80" s="81">
        <f>Torque5*Ratio3*efficiency/r_wheel</f>
        <v>1500.3583725674546</v>
      </c>
      <c r="H80" s="81">
        <f>krpm5/krpmMax*vmax4</f>
        <v>59.665225584746715</v>
      </c>
      <c r="I80" s="81">
        <f>Torque5*Ratio4*efficiency/r_wheel</f>
        <v>1253.9759927585833</v>
      </c>
      <c r="J80" s="81">
        <f>krpm5/krpmMax*vmax5</f>
        <v>66.79190530736922</v>
      </c>
      <c r="K80" s="81">
        <f>Torque5*Ratio5*efficiency/r_wheel</f>
        <v>1120.1770654915388</v>
      </c>
      <c r="L80" s="81">
        <f>krpm5/krpmMax*vmax6</f>
        <v>71.75257731958763</v>
      </c>
      <c r="M80" s="81">
        <f>Torque5*Ratio6*efficiency/r_wheel</f>
        <v>1042.7327251612594</v>
      </c>
      <c r="N80" s="26"/>
      <c r="O80" s="75"/>
    </row>
    <row r="81" spans="1:15" ht="12.75">
      <c r="A81" s="53">
        <f>krpm6</f>
        <v>4</v>
      </c>
      <c r="B81" s="85">
        <f>krpm6/krpmMax*vmax1</f>
        <v>37.59394294973878</v>
      </c>
      <c r="C81" s="81">
        <f>Torque6*Ratio1*efficiency/r_wheel</f>
        <v>2708.2074305846486</v>
      </c>
      <c r="D81" s="81">
        <f>krpm6/krpmMax*vmax2</f>
        <v>52.766993797921636</v>
      </c>
      <c r="E81" s="81">
        <f>Torque6*Ratio2*efficiency/r_wheel</f>
        <v>1929.467424870963</v>
      </c>
      <c r="F81" s="81">
        <f>krpm6/krpmMax*vmax3</f>
        <v>66.48967949149878</v>
      </c>
      <c r="G81" s="81">
        <f>Torque6*Ratio3*efficiency/r_wheel</f>
        <v>1531.2481037673733</v>
      </c>
      <c r="H81" s="81">
        <f>krpm6/krpmMax*vmax4</f>
        <v>79.55363411299562</v>
      </c>
      <c r="I81" s="81">
        <f>Torque6*Ratio4*efficiency/r_wheel</f>
        <v>1279.7931455506723</v>
      </c>
      <c r="J81" s="81">
        <f>krpm6/krpmMax*vmax5</f>
        <v>89.05587374315895</v>
      </c>
      <c r="K81" s="81">
        <f>Torque6*Ratio5*efficiency/r_wheel</f>
        <v>1143.239534486953</v>
      </c>
      <c r="L81" s="81">
        <f>krpm6/krpmMax*vmax6</f>
        <v>95.6701030927835</v>
      </c>
      <c r="M81" s="81">
        <f>Torque6*Ratio6*efficiency/r_wheel</f>
        <v>1064.2007518557564</v>
      </c>
      <c r="N81" s="26"/>
      <c r="O81" s="75"/>
    </row>
    <row r="82" spans="1:15" ht="12.75">
      <c r="A82" s="53">
        <f>krpm7</f>
        <v>5</v>
      </c>
      <c r="B82" s="85">
        <f>krpm7/krpmMax*vmax1</f>
        <v>46.99242868717347</v>
      </c>
      <c r="C82" s="81">
        <f>Torque7*Ratio1*efficiency/r_wheel</f>
        <v>2825.901286645791</v>
      </c>
      <c r="D82" s="81">
        <f>krpm7/krpmMax*vmax2</f>
        <v>65.95874224740204</v>
      </c>
      <c r="E82" s="81">
        <f>Torque7*Ratio2*efficiency/r_wheel</f>
        <v>2013.3186316924441</v>
      </c>
      <c r="F82" s="81">
        <f>krpm7/krpmMax*vmax3</f>
        <v>83.11209936437348</v>
      </c>
      <c r="G82" s="81">
        <f>Torque7*Ratio3*efficiency/r_wheel</f>
        <v>1597.7934104094827</v>
      </c>
      <c r="H82" s="81">
        <f>krpm7/krpmMax*vmax4</f>
        <v>99.44204264124453</v>
      </c>
      <c r="I82" s="81">
        <f>Torque7*Ratio4*efficiency/r_wheel</f>
        <v>1335.4106689941998</v>
      </c>
      <c r="J82" s="81">
        <f>krpm7/krpmMax*vmax5</f>
        <v>111.3198421789487</v>
      </c>
      <c r="K82" s="81">
        <f>Torque7*Ratio5*efficiency/r_wheel</f>
        <v>1192.9226819799305</v>
      </c>
      <c r="L82" s="81">
        <f>krpm7/krpmMax*vmax6</f>
        <v>119.5876288659794</v>
      </c>
      <c r="M82" s="81">
        <f>Torque7*Ratio6*efficiency/r_wheel</f>
        <v>1110.4490150776144</v>
      </c>
      <c r="N82" s="26"/>
      <c r="O82" s="75"/>
    </row>
    <row r="83" spans="1:15" ht="12.75">
      <c r="A83" s="53">
        <f>krpm8</f>
        <v>6</v>
      </c>
      <c r="B83" s="85">
        <f>krpm8/krpmMax*vmax1</f>
        <v>56.39091442460817</v>
      </c>
      <c r="C83" s="81">
        <f>Torque8*Ratio1*efficiency/r_wheel</f>
        <v>2962.6384456770393</v>
      </c>
      <c r="D83" s="81">
        <f>krpm8/krpmMax*vmax2</f>
        <v>79.15049069688246</v>
      </c>
      <c r="E83" s="81">
        <f>Torque8*Ratio2*efficiency/r_wheel</f>
        <v>2110.737275161433</v>
      </c>
      <c r="F83" s="81">
        <f>krpm8/krpmMax*vmax3</f>
        <v>99.73451923724816</v>
      </c>
      <c r="G83" s="81">
        <f>Torque8*Ratio3*efficiency/r_wheel</f>
        <v>1675.105994784135</v>
      </c>
      <c r="H83" s="81">
        <f>krpm8/krpmMax*vmax4</f>
        <v>119.33045116949343</v>
      </c>
      <c r="I83" s="81">
        <f>Torque8*Ratio4*efficiency/r_wheel</f>
        <v>1400.0273142681126</v>
      </c>
      <c r="J83" s="81">
        <f>krpm8/krpmMax*vmax5</f>
        <v>133.58381061473844</v>
      </c>
      <c r="K83" s="81">
        <f>Torque8*Ratio5*efficiency/r_wheel</f>
        <v>1250.644747237024</v>
      </c>
      <c r="L83" s="81">
        <f>krpm8/krpmMax*vmax6</f>
        <v>143.50515463917526</v>
      </c>
      <c r="M83" s="81">
        <f>Torque8*Ratio6*efficiency/r_wheel</f>
        <v>1164.1804190329826</v>
      </c>
      <c r="N83" s="26"/>
      <c r="O83" s="75"/>
    </row>
    <row r="84" spans="1:15" ht="12.75">
      <c r="A84" s="53">
        <f>krpm9</f>
        <v>7</v>
      </c>
      <c r="B84" s="81">
        <f>krpm9/krpmMax*vmax1</f>
        <v>65.78940016204287</v>
      </c>
      <c r="C84" s="81">
        <f>Torque9*Ratio1*efficiency/r_wheel</f>
        <v>2928.298063271931</v>
      </c>
      <c r="D84" s="102">
        <f>krpm9/krpmMax*vmax2</f>
        <v>92.34223914636287</v>
      </c>
      <c r="E84" s="102">
        <f>Torque9*Ratio2*efficiency/r_wheel</f>
        <v>2086.2714057970757</v>
      </c>
      <c r="F84" s="81">
        <f>krpm9/krpmMax*vmax3</f>
        <v>116.35693911012288</v>
      </c>
      <c r="G84" s="81">
        <f>Torque9*Ratio3*efficiency/r_wheel</f>
        <v>1655.689592315615</v>
      </c>
      <c r="H84" s="81">
        <f>krpm9/krpmMax*vmax4</f>
        <v>139.21885969774235</v>
      </c>
      <c r="I84" s="81">
        <f>Torque9*Ratio4*efficiency/r_wheel</f>
        <v>1383.7993896559428</v>
      </c>
      <c r="J84" s="81">
        <f>krpm9/krpmMax*vmax5</f>
        <v>155.8477790505282</v>
      </c>
      <c r="K84" s="81">
        <f>Torque9*Ratio5*efficiency/r_wheel</f>
        <v>1236.1483381541925</v>
      </c>
      <c r="L84" s="81">
        <f>krpm9/krpmMax*vmax6</f>
        <v>167.42268041237116</v>
      </c>
      <c r="M84" s="81">
        <f>Torque9*Ratio6*efficiency/r_wheel</f>
        <v>1150.6862308250136</v>
      </c>
      <c r="N84" s="26" t="s">
        <v>97</v>
      </c>
      <c r="O84" s="75"/>
    </row>
    <row r="85" spans="1:15" ht="12.75">
      <c r="A85" s="53">
        <f>krpm10</f>
        <v>8</v>
      </c>
      <c r="B85" s="81">
        <f>krpm10/krpmMax*vmax1</f>
        <v>75.18788589947756</v>
      </c>
      <c r="C85" s="81">
        <f>Torque10*Ratio1*efficiency/r_wheel</f>
        <v>2843.227570495641</v>
      </c>
      <c r="D85" s="81">
        <f>krpm10/krpmMax*vmax2</f>
        <v>105.53398759584327</v>
      </c>
      <c r="E85" s="81">
        <f>Torque10*Ratio2*efficiency/r_wheel</f>
        <v>2025.662774871734</v>
      </c>
      <c r="F85" s="102">
        <f>krpm10/krpmMax*vmax3</f>
        <v>132.97935898299755</v>
      </c>
      <c r="G85" s="102">
        <f>Torque10*Ratio3*efficiency/r_wheel</f>
        <v>1607.5898680185996</v>
      </c>
      <c r="H85" s="81">
        <f>krpm10/krpmMax*vmax4</f>
        <v>159.10726822599125</v>
      </c>
      <c r="I85" s="81">
        <f>Torque10*Ratio4*efficiency/r_wheel</f>
        <v>1343.5983945939765</v>
      </c>
      <c r="J85" s="81">
        <f>krpm10/krpmMax*vmax5</f>
        <v>178.1117474863179</v>
      </c>
      <c r="K85" s="81">
        <f>Torque10*Ratio5*efficiency/r_wheel</f>
        <v>1200.236779289905</v>
      </c>
      <c r="L85" s="81">
        <f>krpm10/krpmMax*vmax6</f>
        <v>191.340206185567</v>
      </c>
      <c r="M85" s="81">
        <f>Torque10*Ratio6*efficiency/r_wheel</f>
        <v>1117.2574464007262</v>
      </c>
      <c r="N85" s="26"/>
      <c r="O85" s="75"/>
    </row>
    <row r="86" spans="1:15" ht="12.75">
      <c r="A86" s="53">
        <f>krpm11</f>
        <v>9</v>
      </c>
      <c r="B86" s="81">
        <f>krpm11/krpmMax*vmax1</f>
        <v>84.58637163691225</v>
      </c>
      <c r="C86" s="81">
        <f>Torque11*Ratio1*efficiency/r_wheel</f>
        <v>2702.1371609675844</v>
      </c>
      <c r="D86" s="81">
        <f>krpm11/krpmMax*vmax2</f>
        <v>118.72573604532369</v>
      </c>
      <c r="E86" s="81">
        <f>Torque11*Ratio2*efficiency/r_wheel</f>
        <v>1925.1426499833237</v>
      </c>
      <c r="F86" s="81">
        <f>krpm11/krpmMax*vmax3</f>
        <v>149.60177885587225</v>
      </c>
      <c r="G86" s="81">
        <f>Torque11*Ratio3*efficiency/r_wheel</f>
        <v>1527.8159114118268</v>
      </c>
      <c r="H86" s="102">
        <f>krpm11/krpmMax*vmax4</f>
        <v>178.99567675424015</v>
      </c>
      <c r="I86" s="144">
        <f>Torque11*Ratio4*efficiency/r_wheel</f>
        <v>1276.9245730182179</v>
      </c>
      <c r="J86" s="102">
        <f>krpm11/krpmMax*vmax5</f>
        <v>200.37571592210764</v>
      </c>
      <c r="K86" s="144">
        <f>Torque11*Ratio5*efficiency/r_wheel</f>
        <v>1140.677037931907</v>
      </c>
      <c r="L86" s="81">
        <f>krpm11/krpmMax*vmax6</f>
        <v>215.2577319587629</v>
      </c>
      <c r="M86" s="81">
        <f>Torque11*Ratio6*efficiency/r_wheel</f>
        <v>1061.8154155563677</v>
      </c>
      <c r="N86" s="26"/>
      <c r="O86" s="75"/>
    </row>
    <row r="87" spans="1:15" ht="12.75">
      <c r="A87" s="108">
        <f>krpmMax</f>
        <v>9.7</v>
      </c>
      <c r="B87" s="109">
        <f>vmax1</f>
        <v>91.16531165311653</v>
      </c>
      <c r="C87" s="109">
        <f>TorqueRpmMax*Ratio1*efficiency/r_wheel</f>
        <v>2520.011192427321</v>
      </c>
      <c r="D87" s="109">
        <f>vmax2</f>
        <v>127.95995995995996</v>
      </c>
      <c r="E87" s="109">
        <f>TorqueRpmMax*Ratio2*efficiency/r_wheel</f>
        <v>1795.3866646946892</v>
      </c>
      <c r="F87" s="109">
        <f>vmax3</f>
        <v>161.23747276688454</v>
      </c>
      <c r="G87" s="109">
        <f>TorqueRpmMax*Ratio3*efficiency/r_wheel</f>
        <v>1424.8400311950481</v>
      </c>
      <c r="H87" s="109">
        <f>vmax4</f>
        <v>192.91756272401437</v>
      </c>
      <c r="I87" s="109">
        <f>TorqueRpmMax*Ratio4*efficiency/r_wheel</f>
        <v>1190.8589476409595</v>
      </c>
      <c r="J87" s="109">
        <f>vmax5</f>
        <v>215.96049382716046</v>
      </c>
      <c r="K87" s="109">
        <f>TorqueRpmMax*Ratio5*efficiency/r_wheel</f>
        <v>1063.7945934261675</v>
      </c>
      <c r="L87" s="151">
        <f>vmax6</f>
        <v>232</v>
      </c>
      <c r="M87" s="151">
        <f>TorqueRpmMax*Ratio6*efficiency/r_wheel</f>
        <v>990.2483005473212</v>
      </c>
      <c r="N87" s="110" t="s">
        <v>98</v>
      </c>
      <c r="O87" s="77"/>
    </row>
    <row r="88" spans="1:13" ht="12.75">
      <c r="A88" s="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7"/>
      <c r="M88" s="7"/>
    </row>
    <row r="89" spans="2:11" s="4" customFormat="1" ht="12.75">
      <c r="B89" s="66" t="s">
        <v>44</v>
      </c>
      <c r="C89" s="62"/>
      <c r="D89" s="67"/>
      <c r="F89" s="66" t="s">
        <v>96</v>
      </c>
      <c r="G89" s="67"/>
      <c r="I89" s="66" t="s">
        <v>102</v>
      </c>
      <c r="J89" s="62"/>
      <c r="K89" s="67"/>
    </row>
    <row r="90" spans="1:11" s="4" customFormat="1" ht="12.75">
      <c r="A90" s="9" t="s">
        <v>1</v>
      </c>
      <c r="B90" s="68" t="s">
        <v>41</v>
      </c>
      <c r="C90" s="64" t="s">
        <v>42</v>
      </c>
      <c r="D90" s="65" t="s">
        <v>43</v>
      </c>
      <c r="F90" s="68"/>
      <c r="G90" s="65"/>
      <c r="I90" s="68" t="s">
        <v>104</v>
      </c>
      <c r="J90" s="64" t="s">
        <v>103</v>
      </c>
      <c r="K90" s="65" t="s">
        <v>105</v>
      </c>
    </row>
    <row r="91" spans="1:11" ht="12.75">
      <c r="A91" s="30">
        <v>0</v>
      </c>
      <c r="B91" s="78">
        <f aca="true" t="shared" si="0" ref="B91:B103">M_tot*9.81*SIN(RADIANS(incline))</f>
        <v>0</v>
      </c>
      <c r="C91" s="79">
        <f>Cd*A*POWER(krpm0/krpmMax*vmax6mps3,2)</f>
        <v>0</v>
      </c>
      <c r="D91" s="80">
        <f aca="true" t="shared" si="1" ref="D91:D103">SUM(B91:C91)</f>
        <v>0</v>
      </c>
      <c r="F91" s="73"/>
      <c r="G91" s="74"/>
      <c r="H91" s="7"/>
      <c r="I91" s="69">
        <f>B57</f>
        <v>0</v>
      </c>
      <c r="J91" s="70">
        <f>C57</f>
        <v>0</v>
      </c>
      <c r="K91" s="47">
        <f>J98</f>
        <v>44.12100662251655</v>
      </c>
    </row>
    <row r="92" spans="1:11" ht="12.75">
      <c r="A92" s="30">
        <f>krpm1/krpmMax*vmax6</f>
        <v>0</v>
      </c>
      <c r="B92" s="78">
        <f t="shared" si="0"/>
        <v>0</v>
      </c>
      <c r="C92" s="81">
        <f>Cd*A*POWER(krpm1/krpmMax*vmax6mps3,2)</f>
        <v>0</v>
      </c>
      <c r="D92" s="80">
        <f t="shared" si="1"/>
        <v>0</v>
      </c>
      <c r="F92" s="73"/>
      <c r="G92" s="75"/>
      <c r="I92" s="69">
        <v>0</v>
      </c>
      <c r="J92" s="70">
        <f>Power1</f>
        <v>0</v>
      </c>
      <c r="K92" s="47">
        <f>K91</f>
        <v>44.12100662251655</v>
      </c>
    </row>
    <row r="93" spans="1:12" ht="12.75">
      <c r="A93" s="30">
        <f>krpm2/krpmMax*vmax6</f>
        <v>0</v>
      </c>
      <c r="B93" s="78">
        <f t="shared" si="0"/>
        <v>0</v>
      </c>
      <c r="C93" s="81">
        <f>Cd*A*POWER(krpm2/krpmMax*vmax6mps3,2)</f>
        <v>0</v>
      </c>
      <c r="D93" s="80">
        <f t="shared" si="1"/>
        <v>0</v>
      </c>
      <c r="F93" s="73"/>
      <c r="G93" s="75"/>
      <c r="I93" s="69">
        <v>0</v>
      </c>
      <c r="J93" s="70">
        <f>Power2</f>
        <v>0</v>
      </c>
      <c r="K93" s="47">
        <f aca="true" t="shared" si="2" ref="K93:K103">K92</f>
        <v>44.12100662251655</v>
      </c>
      <c r="L93" s="3"/>
    </row>
    <row r="94" spans="1:11" ht="12.75">
      <c r="A94" s="30">
        <f>2*A95/3</f>
        <v>23.917525773195877</v>
      </c>
      <c r="B94" s="78">
        <f t="shared" si="0"/>
        <v>0</v>
      </c>
      <c r="C94" s="81">
        <f>Cd*A*POWER(2/3*krpm4/krpmMax*vmax6mps3,2)</f>
        <v>0</v>
      </c>
      <c r="D94" s="80">
        <f t="shared" si="1"/>
        <v>0</v>
      </c>
      <c r="F94" s="73"/>
      <c r="G94" s="75"/>
      <c r="I94" s="69">
        <v>0</v>
      </c>
      <c r="J94" s="70">
        <f>Power3</f>
        <v>0</v>
      </c>
      <c r="K94" s="47">
        <f t="shared" si="2"/>
        <v>44.12100662251655</v>
      </c>
    </row>
    <row r="95" spans="1:11" ht="12.75">
      <c r="A95" s="30">
        <f>A96/2</f>
        <v>35.876288659793815</v>
      </c>
      <c r="B95" s="78">
        <f t="shared" si="0"/>
        <v>0</v>
      </c>
      <c r="C95" s="81">
        <f>Cd*A*POWER(0.5*krpm5/krpmMax*vmax6mps3,2)</f>
        <v>23.83533496297871</v>
      </c>
      <c r="D95" s="80">
        <f t="shared" si="1"/>
        <v>23.83533496297871</v>
      </c>
      <c r="F95" s="73"/>
      <c r="G95" s="75"/>
      <c r="I95" s="69">
        <v>0</v>
      </c>
      <c r="J95" s="70">
        <f>Power4</f>
        <v>0</v>
      </c>
      <c r="K95" s="47">
        <f t="shared" si="2"/>
        <v>44.12100662251655</v>
      </c>
    </row>
    <row r="96" spans="1:12" ht="12.75">
      <c r="A96" s="30">
        <f>krpm5/krpmMax*vmax6</f>
        <v>71.75257731958763</v>
      </c>
      <c r="B96" s="78">
        <f t="shared" si="0"/>
        <v>0</v>
      </c>
      <c r="C96" s="81">
        <f>Cd*A*POWER(krpm5/krpmMax*vmax6mps3,2)</f>
        <v>95.34133985191484</v>
      </c>
      <c r="D96" s="80">
        <f t="shared" si="1"/>
        <v>95.34133985191484</v>
      </c>
      <c r="F96" s="73">
        <f aca="true" t="shared" si="3" ref="F96:F103">MAX($D$115:$D$138)*1000/(A96*1000/3600)</f>
        <v>3201.802838436339</v>
      </c>
      <c r="G96" s="75"/>
      <c r="I96" s="69">
        <f>Torque5</f>
        <v>79.126356872813</v>
      </c>
      <c r="J96" s="70">
        <f>Power5</f>
        <v>24.858278145695362</v>
      </c>
      <c r="K96" s="47">
        <f t="shared" si="2"/>
        <v>44.12100662251655</v>
      </c>
      <c r="L96" s="3"/>
    </row>
    <row r="97" spans="1:11" ht="12.75">
      <c r="A97" s="30">
        <f>krpm6/krpmMax*vmax6</f>
        <v>95.6701030927835</v>
      </c>
      <c r="B97" s="78">
        <f t="shared" si="0"/>
        <v>0</v>
      </c>
      <c r="C97" s="81">
        <f>Cd*A*POWER(krpm6/krpmMax*vmax6mps3,2)</f>
        <v>169.49571529229306</v>
      </c>
      <c r="D97" s="80">
        <f t="shared" si="1"/>
        <v>169.49571529229306</v>
      </c>
      <c r="F97" s="73">
        <f t="shared" si="3"/>
        <v>2401.352128827254</v>
      </c>
      <c r="G97" s="75"/>
      <c r="I97" s="69">
        <f>Torque6</f>
        <v>80.75542892607683</v>
      </c>
      <c r="J97" s="70">
        <f>Power6</f>
        <v>33.82675496688742</v>
      </c>
      <c r="K97" s="47">
        <f t="shared" si="2"/>
        <v>44.12100662251655</v>
      </c>
    </row>
    <row r="98" spans="1:11" ht="12.75">
      <c r="A98" s="30">
        <f>krpm7/krpmMax*vmax6</f>
        <v>119.5876288659794</v>
      </c>
      <c r="B98" s="78">
        <f t="shared" si="0"/>
        <v>0</v>
      </c>
      <c r="C98" s="81">
        <f>Cd*A*POWER(krpm7/krpmMax*vmax6mps3,2)</f>
        <v>264.8370551442079</v>
      </c>
      <c r="D98" s="80">
        <f t="shared" si="1"/>
        <v>264.8370551442079</v>
      </c>
      <c r="F98" s="73">
        <f t="shared" si="3"/>
        <v>1921.0817030618032</v>
      </c>
      <c r="G98" s="75"/>
      <c r="I98" s="69">
        <f>Torque7</f>
        <v>84.26491557796511</v>
      </c>
      <c r="J98" s="70">
        <f>Power7</f>
        <v>44.12100662251655</v>
      </c>
      <c r="K98" s="47">
        <f t="shared" si="2"/>
        <v>44.12100662251655</v>
      </c>
    </row>
    <row r="99" spans="1:11" ht="12.75">
      <c r="A99" s="30">
        <f>krpm8/krpmMax*vmax6</f>
        <v>143.50515463917526</v>
      </c>
      <c r="B99" s="78">
        <f t="shared" si="0"/>
        <v>0</v>
      </c>
      <c r="C99" s="81">
        <f>Cd*A*POWER(krpm8/krpmMax*vmax6mps3,2)</f>
        <v>381.36535940765935</v>
      </c>
      <c r="D99" s="80">
        <f t="shared" si="1"/>
        <v>381.36535940765935</v>
      </c>
      <c r="F99" s="73">
        <f t="shared" si="3"/>
        <v>1600.9014192181694</v>
      </c>
      <c r="G99" s="75"/>
      <c r="I99" s="69">
        <f>Torque8</f>
        <v>88.34225020270536</v>
      </c>
      <c r="J99" s="70">
        <f>Power8</f>
        <v>55.50707284768212</v>
      </c>
      <c r="K99" s="47">
        <f t="shared" si="2"/>
        <v>44.12100662251655</v>
      </c>
    </row>
    <row r="100" spans="1:11" ht="12.75">
      <c r="A100" s="30">
        <f>krpm9/krpmMax*vmax6</f>
        <v>167.42268041237116</v>
      </c>
      <c r="B100" s="78">
        <f t="shared" si="0"/>
        <v>0</v>
      </c>
      <c r="C100" s="81">
        <f>Cd*A*POWER(krpm9/krpmMax*vmax6mps3,2)</f>
        <v>519.0806280826475</v>
      </c>
      <c r="D100" s="80">
        <f t="shared" si="1"/>
        <v>519.0806280826475</v>
      </c>
      <c r="F100" s="73">
        <f t="shared" si="3"/>
        <v>1372.2012164727162</v>
      </c>
      <c r="G100" s="75"/>
      <c r="I100" s="69">
        <f>Torque9</f>
        <v>87.31826205493955</v>
      </c>
      <c r="J100" s="70">
        <f>Power9</f>
        <v>64.00762913907285</v>
      </c>
      <c r="K100" s="47">
        <f t="shared" si="2"/>
        <v>44.12100662251655</v>
      </c>
    </row>
    <row r="101" spans="1:11" ht="12.75">
      <c r="A101" s="30">
        <f>krpm10/krpmMax*vmax6</f>
        <v>191.340206185567</v>
      </c>
      <c r="B101" s="78">
        <f t="shared" si="0"/>
        <v>0</v>
      </c>
      <c r="C101" s="81">
        <f>Cd*A*POWER(krpm10/krpmMax*vmax6mps3,2)</f>
        <v>677.9828611691722</v>
      </c>
      <c r="D101" s="80">
        <f t="shared" si="1"/>
        <v>677.9828611691722</v>
      </c>
      <c r="F101" s="73">
        <f t="shared" si="3"/>
        <v>1200.676064413627</v>
      </c>
      <c r="G101" s="75"/>
      <c r="I101" s="69">
        <f>Torque10</f>
        <v>84.78156414342878</v>
      </c>
      <c r="J101" s="70">
        <f>Power10</f>
        <v>71.02643708609273</v>
      </c>
      <c r="K101" s="47">
        <f t="shared" si="2"/>
        <v>44.12100662251655</v>
      </c>
    </row>
    <row r="102" spans="1:11" ht="12.75">
      <c r="A102" s="30">
        <f>krpm11/krpmMax*vmax6</f>
        <v>215.2577319587629</v>
      </c>
      <c r="B102" s="78">
        <f t="shared" si="0"/>
        <v>0</v>
      </c>
      <c r="C102" s="81">
        <f>Cd*A*POWER(krpm11/krpmMax*vmax6mps3,2)</f>
        <v>858.0720586672335</v>
      </c>
      <c r="D102" s="80">
        <f t="shared" si="1"/>
        <v>858.0720586672335</v>
      </c>
      <c r="F102" s="73">
        <f t="shared" si="3"/>
        <v>1067.267612812113</v>
      </c>
      <c r="G102" s="75"/>
      <c r="I102" s="69">
        <f>Torque11</f>
        <v>80.57442092015863</v>
      </c>
      <c r="J102" s="70">
        <f>Power11</f>
        <v>75.93960264900662</v>
      </c>
      <c r="K102" s="47">
        <f t="shared" si="2"/>
        <v>44.12100662251655</v>
      </c>
    </row>
    <row r="103" spans="1:11" ht="12.75">
      <c r="A103" s="30">
        <f>krpmMax/krpmMax*vmax6</f>
        <v>232</v>
      </c>
      <c r="B103" s="58">
        <f t="shared" si="0"/>
        <v>0</v>
      </c>
      <c r="C103" s="82">
        <f>Cd*A*POWER(krpmMax/krpmMax*vmax6mps3,2)</f>
        <v>996.7407407407406</v>
      </c>
      <c r="D103" s="83">
        <f t="shared" si="1"/>
        <v>996.7407407407406</v>
      </c>
      <c r="F103" s="76">
        <f t="shared" si="3"/>
        <v>990.2483005473213</v>
      </c>
      <c r="G103" s="77"/>
      <c r="I103" s="71">
        <f>TorqueRpmMax</f>
        <v>75.14364758206501</v>
      </c>
      <c r="J103" s="72">
        <f>PowerRpmMax</f>
        <v>76.32953642384106</v>
      </c>
      <c r="K103" s="48">
        <f t="shared" si="2"/>
        <v>44.12100662251655</v>
      </c>
    </row>
    <row r="104" spans="1:4" ht="12.75">
      <c r="A104" s="30"/>
      <c r="B104" s="8"/>
      <c r="C104" s="32"/>
      <c r="D104" s="29"/>
    </row>
    <row r="105" spans="1:3" s="4" customFormat="1" ht="12.75">
      <c r="A105" s="66" t="s">
        <v>78</v>
      </c>
      <c r="B105" s="62"/>
      <c r="C105" s="67"/>
    </row>
    <row r="106" spans="1:3" s="4" customFormat="1" ht="12.75">
      <c r="A106" s="68" t="s">
        <v>15</v>
      </c>
      <c r="B106" s="64" t="s">
        <v>5</v>
      </c>
      <c r="C106" s="65"/>
    </row>
    <row r="107" spans="1:3" ht="12.75">
      <c r="A107" s="84">
        <v>0</v>
      </c>
      <c r="B107" s="85">
        <f>Vmax_actual</f>
        <v>232</v>
      </c>
      <c r="C107" s="86">
        <v>0</v>
      </c>
    </row>
    <row r="108" spans="1:3" ht="12.75">
      <c r="A108" s="87">
        <f>ROUNDUP(MAX(C76:C87),-3)</f>
        <v>3000</v>
      </c>
      <c r="B108" s="59">
        <f>Vmax_actual</f>
        <v>232</v>
      </c>
      <c r="C108" s="77">
        <f>ROUNDUP(MAX(B55:B69),-0.5)</f>
        <v>77</v>
      </c>
    </row>
    <row r="109" ht="13.5" customHeight="1"/>
    <row r="110" spans="1:15" ht="12.75">
      <c r="A110" s="66" t="s">
        <v>17</v>
      </c>
      <c r="B110" s="62"/>
      <c r="C110" s="62"/>
      <c r="D110" s="62"/>
      <c r="E110" s="62"/>
      <c r="F110" s="61"/>
      <c r="G110" s="61"/>
      <c r="H110" s="61"/>
      <c r="I110" s="61"/>
      <c r="J110" s="61"/>
      <c r="K110" s="61"/>
      <c r="L110" s="61"/>
      <c r="M110" s="63"/>
      <c r="N110" s="66" t="s">
        <v>110</v>
      </c>
      <c r="O110" s="63"/>
    </row>
    <row r="111" spans="1:15" s="4" customFormat="1" ht="12.75">
      <c r="A111" s="53" t="s">
        <v>73</v>
      </c>
      <c r="B111" s="64" t="s">
        <v>53</v>
      </c>
      <c r="C111" s="54" t="s">
        <v>50</v>
      </c>
      <c r="D111" s="64" t="s">
        <v>94</v>
      </c>
      <c r="E111" s="54" t="s">
        <v>48</v>
      </c>
      <c r="F111" s="54" t="s">
        <v>95</v>
      </c>
      <c r="G111" s="64" t="s">
        <v>107</v>
      </c>
      <c r="H111" s="64" t="s">
        <v>49</v>
      </c>
      <c r="I111" s="54" t="s">
        <v>16</v>
      </c>
      <c r="J111" s="64" t="s">
        <v>52</v>
      </c>
      <c r="K111" s="64" t="s">
        <v>54</v>
      </c>
      <c r="L111" s="64" t="s">
        <v>55</v>
      </c>
      <c r="M111" s="65"/>
      <c r="N111" s="68" t="s">
        <v>5</v>
      </c>
      <c r="O111" s="65" t="s">
        <v>16</v>
      </c>
    </row>
    <row r="112" spans="1:15" ht="12.75">
      <c r="A112" s="88">
        <f>B76</f>
        <v>0</v>
      </c>
      <c r="B112" s="70">
        <f aca="true" t="shared" si="4" ref="B112:B138">A112*1000/3600</f>
        <v>0</v>
      </c>
      <c r="C112" s="89">
        <f>C113</f>
        <v>2962.6384456770393</v>
      </c>
      <c r="D112" s="26">
        <v>0</v>
      </c>
      <c r="E112" s="81">
        <f aca="true" t="shared" si="5" ref="E112:E133">M_tot*9.81*SIN(RADIANS(incline))+Cd*A*POWER(A112*1000/3600,2)</f>
        <v>0</v>
      </c>
      <c r="F112" s="89">
        <f aca="true" t="shared" si="6" ref="F112:F133">C112-E112</f>
        <v>2962.6384456770393</v>
      </c>
      <c r="G112" s="26">
        <v>0</v>
      </c>
      <c r="H112" s="90">
        <f aca="true" t="shared" si="7" ref="H112:H133">F112/M_tot</f>
        <v>9.221663954541077</v>
      </c>
      <c r="I112" s="91">
        <v>0</v>
      </c>
      <c r="J112" s="92">
        <f>I112</f>
        <v>0</v>
      </c>
      <c r="K112" s="93">
        <v>0</v>
      </c>
      <c r="L112" s="70">
        <f>K112</f>
        <v>0</v>
      </c>
      <c r="M112" s="75"/>
      <c r="N112" s="73">
        <v>0</v>
      </c>
      <c r="O112" s="75">
        <v>0</v>
      </c>
    </row>
    <row r="113" spans="1:15" ht="12.75">
      <c r="A113" s="95">
        <f aca="true" t="shared" si="8" ref="A113:A118">B80</f>
        <v>28.195457212304085</v>
      </c>
      <c r="B113" s="94">
        <f t="shared" si="4"/>
        <v>7.832071447862246</v>
      </c>
      <c r="C113" s="81">
        <f>C114</f>
        <v>2962.6384456770393</v>
      </c>
      <c r="D113" s="94">
        <f aca="true" t="shared" si="9" ref="D113:D133">C113*B113/1000</f>
        <v>23.203595980726124</v>
      </c>
      <c r="E113" s="81">
        <f t="shared" si="5"/>
        <v>14.721922359460564</v>
      </c>
      <c r="F113" s="81">
        <f t="shared" si="6"/>
        <v>2947.9165233175786</v>
      </c>
      <c r="G113" s="94">
        <f aca="true" t="shared" si="10" ref="G113:G133">F113*B113/1000</f>
        <v>23.08829283295695</v>
      </c>
      <c r="H113" s="90">
        <f t="shared" si="7"/>
        <v>9.175839726153747</v>
      </c>
      <c r="I113" s="90">
        <f>(A113-A112)*1000/3600/H113+A112</f>
        <v>0.853553645399736</v>
      </c>
      <c r="J113" s="90">
        <f>I113-I112</f>
        <v>0.853553645399736</v>
      </c>
      <c r="K113" s="94">
        <f>(B112+B113)/2*J113</f>
        <v>3.342546567677004</v>
      </c>
      <c r="L113" s="94">
        <f aca="true" t="shared" si="11" ref="L113:L119">K113+L112</f>
        <v>3.342546567677004</v>
      </c>
      <c r="M113" s="75"/>
      <c r="N113" s="73">
        <v>33</v>
      </c>
      <c r="O113" s="75">
        <v>1</v>
      </c>
    </row>
    <row r="114" spans="1:15" ht="12.75">
      <c r="A114" s="95">
        <f t="shared" si="8"/>
        <v>37.59394294973878</v>
      </c>
      <c r="B114" s="94">
        <f t="shared" si="4"/>
        <v>10.442761930482995</v>
      </c>
      <c r="C114" s="81">
        <f>C115</f>
        <v>2962.6384456770393</v>
      </c>
      <c r="D114" s="94">
        <f t="shared" si="9"/>
        <v>30.938127974301498</v>
      </c>
      <c r="E114" s="81">
        <f t="shared" si="5"/>
        <v>26.17230641681878</v>
      </c>
      <c r="F114" s="81">
        <f t="shared" si="6"/>
        <v>2936.4661392602206</v>
      </c>
      <c r="G114" s="94">
        <f t="shared" si="10"/>
        <v>30.664816809219005</v>
      </c>
      <c r="H114" s="90">
        <f t="shared" si="7"/>
        <v>9.140198659630268</v>
      </c>
      <c r="I114" s="90">
        <f aca="true" t="shared" si="12" ref="I114:I132">(A114-A113)*1000/3600/H114+I113</f>
        <v>1.13918096925118</v>
      </c>
      <c r="J114" s="90">
        <f aca="true" t="shared" si="13" ref="J114:J133">I114-I113</f>
        <v>0.28562732385144407</v>
      </c>
      <c r="K114" s="94">
        <f aca="true" t="shared" si="14" ref="K114:K119">(B113+B114)/2*J114</f>
        <v>2.609895875843898</v>
      </c>
      <c r="L114" s="94">
        <f t="shared" si="11"/>
        <v>5.952442443520902</v>
      </c>
      <c r="M114" s="75"/>
      <c r="N114" s="73">
        <v>65</v>
      </c>
      <c r="O114" s="75">
        <v>2</v>
      </c>
    </row>
    <row r="115" spans="1:15" ht="12.75">
      <c r="A115" s="95">
        <f t="shared" si="8"/>
        <v>46.99242868717347</v>
      </c>
      <c r="B115" s="94">
        <f t="shared" si="4"/>
        <v>13.053452413103743</v>
      </c>
      <c r="C115" s="81">
        <f>C116</f>
        <v>2962.6384456770393</v>
      </c>
      <c r="D115" s="94">
        <f t="shared" si="9"/>
        <v>38.67265996787687</v>
      </c>
      <c r="E115" s="81">
        <f t="shared" si="5"/>
        <v>40.89422877627934</v>
      </c>
      <c r="F115" s="81">
        <f t="shared" si="6"/>
        <v>2921.74421690076</v>
      </c>
      <c r="G115" s="94">
        <f t="shared" si="10"/>
        <v>38.138849098575136</v>
      </c>
      <c r="H115" s="90">
        <f t="shared" si="7"/>
        <v>9.094374431242937</v>
      </c>
      <c r="I115" s="90">
        <f t="shared" si="12"/>
        <v>1.426247496185891</v>
      </c>
      <c r="J115" s="90">
        <f t="shared" si="13"/>
        <v>0.287066526934711</v>
      </c>
      <c r="K115" s="94">
        <f t="shared" si="14"/>
        <v>3.3724883238634926</v>
      </c>
      <c r="L115" s="94">
        <f t="shared" si="11"/>
        <v>9.324930767384394</v>
      </c>
      <c r="M115" s="75"/>
      <c r="N115" s="73">
        <v>86</v>
      </c>
      <c r="O115" s="75">
        <v>3</v>
      </c>
    </row>
    <row r="116" spans="1:15" ht="12.75">
      <c r="A116" s="95">
        <f t="shared" si="8"/>
        <v>56.39091442460817</v>
      </c>
      <c r="B116" s="94">
        <f t="shared" si="4"/>
        <v>15.664142895724492</v>
      </c>
      <c r="C116" s="81">
        <f>C83</f>
        <v>2962.6384456770393</v>
      </c>
      <c r="D116" s="94">
        <f t="shared" si="9"/>
        <v>46.40719196145225</v>
      </c>
      <c r="E116" s="81">
        <f t="shared" si="5"/>
        <v>58.887689437842255</v>
      </c>
      <c r="F116" s="81">
        <f t="shared" si="6"/>
        <v>2903.750756239197</v>
      </c>
      <c r="G116" s="94">
        <f t="shared" si="10"/>
        <v>45.48476677929884</v>
      </c>
      <c r="H116" s="90">
        <f t="shared" si="7"/>
        <v>9.038367040991757</v>
      </c>
      <c r="I116" s="90">
        <f t="shared" si="12"/>
        <v>1.7150928673442507</v>
      </c>
      <c r="J116" s="90">
        <f t="shared" si="13"/>
        <v>0.2888453711583596</v>
      </c>
      <c r="K116" s="94">
        <f t="shared" si="14"/>
        <v>4.14747223787703</v>
      </c>
      <c r="L116" s="94">
        <f t="shared" si="11"/>
        <v>13.472403005261423</v>
      </c>
      <c r="M116" s="75"/>
      <c r="N116" s="73">
        <v>100</v>
      </c>
      <c r="O116" s="75">
        <v>4</v>
      </c>
    </row>
    <row r="117" spans="1:15" s="14" customFormat="1" ht="12.75">
      <c r="A117" s="95">
        <f t="shared" si="8"/>
        <v>65.78940016204287</v>
      </c>
      <c r="B117" s="94">
        <f t="shared" si="4"/>
        <v>18.27483337834524</v>
      </c>
      <c r="C117" s="81">
        <f>C84</f>
        <v>2928.298063271931</v>
      </c>
      <c r="D117" s="94">
        <f t="shared" si="9"/>
        <v>53.514159188425594</v>
      </c>
      <c r="E117" s="81">
        <f t="shared" si="5"/>
        <v>80.1526884015075</v>
      </c>
      <c r="F117" s="81">
        <f t="shared" si="6"/>
        <v>2848.1453748704234</v>
      </c>
      <c r="G117" s="94">
        <f t="shared" si="10"/>
        <v>52.04938216306163</v>
      </c>
      <c r="H117" s="90">
        <f t="shared" si="7"/>
        <v>8.865286811848321</v>
      </c>
      <c r="I117" s="90">
        <f t="shared" si="12"/>
        <v>2.0095774720760007</v>
      </c>
      <c r="J117" s="90">
        <f t="shared" si="13"/>
        <v>0.29448460473175</v>
      </c>
      <c r="K117" s="94">
        <f t="shared" si="14"/>
        <v>4.997253006534833</v>
      </c>
      <c r="L117" s="94">
        <f t="shared" si="11"/>
        <v>18.469656011796257</v>
      </c>
      <c r="M117" s="145"/>
      <c r="N117" s="73">
        <v>110</v>
      </c>
      <c r="O117" s="75">
        <v>5</v>
      </c>
    </row>
    <row r="118" spans="1:15" ht="12.75">
      <c r="A118" s="95">
        <f t="shared" si="8"/>
        <v>75.18788589947756</v>
      </c>
      <c r="B118" s="94">
        <f t="shared" si="4"/>
        <v>20.88552386096599</v>
      </c>
      <c r="C118" s="81">
        <f>C85</f>
        <v>2843.227570495641</v>
      </c>
      <c r="D118" s="94">
        <f t="shared" si="9"/>
        <v>59.38229726574306</v>
      </c>
      <c r="E118" s="81">
        <f t="shared" si="5"/>
        <v>104.68922566727512</v>
      </c>
      <c r="F118" s="81">
        <f t="shared" si="6"/>
        <v>2738.538344828366</v>
      </c>
      <c r="G118" s="94">
        <f t="shared" si="10"/>
        <v>57.195807945083146</v>
      </c>
      <c r="H118" s="90">
        <f t="shared" si="7"/>
        <v>8.524118216139993</v>
      </c>
      <c r="I118" s="90">
        <f t="shared" si="12"/>
        <v>2.315848504037704</v>
      </c>
      <c r="J118" s="90">
        <f t="shared" si="13"/>
        <v>0.30627103196170324</v>
      </c>
      <c r="K118" s="94">
        <f t="shared" si="14"/>
        <v>5.9968415118364025</v>
      </c>
      <c r="L118" s="94">
        <f t="shared" si="11"/>
        <v>24.46649752363266</v>
      </c>
      <c r="M118" s="75"/>
      <c r="N118" s="73">
        <v>165</v>
      </c>
      <c r="O118" s="75">
        <v>10</v>
      </c>
    </row>
    <row r="119" spans="1:15" ht="12.75">
      <c r="A119" s="95">
        <f>B86</f>
        <v>84.58637163691225</v>
      </c>
      <c r="B119" s="94">
        <f t="shared" si="4"/>
        <v>23.496214343586733</v>
      </c>
      <c r="C119" s="81">
        <f>C86</f>
        <v>2702.1371609675844</v>
      </c>
      <c r="D119" s="94">
        <f t="shared" si="9"/>
        <v>63.489993919865285</v>
      </c>
      <c r="E119" s="81">
        <f t="shared" si="5"/>
        <v>132.497301235145</v>
      </c>
      <c r="F119" s="81">
        <f t="shared" si="6"/>
        <v>2569.639859732439</v>
      </c>
      <c r="G119" s="94">
        <f t="shared" si="10"/>
        <v>60.37680893009753</v>
      </c>
      <c r="H119" s="90">
        <f t="shared" si="7"/>
        <v>7.9983959248295635</v>
      </c>
      <c r="I119" s="90">
        <f t="shared" si="12"/>
        <v>2.642250260984535</v>
      </c>
      <c r="J119" s="90">
        <f t="shared" si="13"/>
        <v>0.32640175694683116</v>
      </c>
      <c r="K119" s="94">
        <f t="shared" si="14"/>
        <v>7.2431386631601535</v>
      </c>
      <c r="L119" s="94">
        <f t="shared" si="11"/>
        <v>31.709636186792814</v>
      </c>
      <c r="M119" s="75"/>
      <c r="N119" s="73">
        <v>190</v>
      </c>
      <c r="O119" s="75">
        <v>15</v>
      </c>
    </row>
    <row r="120" spans="1:15" ht="12.75">
      <c r="A120" s="96">
        <f>B87</f>
        <v>91.16531165311653</v>
      </c>
      <c r="B120" s="97">
        <f t="shared" si="4"/>
        <v>25.323697681421258</v>
      </c>
      <c r="C120" s="98">
        <f>C87</f>
        <v>2520.011192427321</v>
      </c>
      <c r="D120" s="97">
        <f t="shared" si="9"/>
        <v>63.81600159082737</v>
      </c>
      <c r="E120" s="98">
        <f t="shared" si="5"/>
        <v>153.9095194224049</v>
      </c>
      <c r="F120" s="98">
        <f t="shared" si="6"/>
        <v>2366.101673004916</v>
      </c>
      <c r="G120" s="97">
        <f t="shared" si="10"/>
        <v>59.91844345068155</v>
      </c>
      <c r="H120" s="99">
        <f t="shared" si="7"/>
        <v>7.364852279753117</v>
      </c>
      <c r="I120" s="99">
        <f t="shared" si="12"/>
        <v>2.8903860372931107</v>
      </c>
      <c r="J120" s="99">
        <f t="shared" si="13"/>
        <v>0.24813577630857564</v>
      </c>
      <c r="K120" s="97">
        <f aca="true" t="shared" si="15" ref="K120:K138">(B119+B120)/2*J120</f>
        <v>6.056983384820863</v>
      </c>
      <c r="L120" s="97">
        <f aca="true" t="shared" si="16" ref="L120:L138">K120+L119</f>
        <v>37.766619571613674</v>
      </c>
      <c r="M120" s="146"/>
      <c r="N120" s="73">
        <v>205</v>
      </c>
      <c r="O120" s="75">
        <v>20</v>
      </c>
    </row>
    <row r="121" spans="1:15" ht="12.75">
      <c r="A121" s="100">
        <f>A120</f>
        <v>91.16531165311653</v>
      </c>
      <c r="B121" s="101">
        <f t="shared" si="4"/>
        <v>25.323697681421258</v>
      </c>
      <c r="C121" s="102">
        <f>C122</f>
        <v>2086.2714057970757</v>
      </c>
      <c r="D121" s="101">
        <f t="shared" si="9"/>
        <v>52.83210636179888</v>
      </c>
      <c r="E121" s="102">
        <f t="shared" si="5"/>
        <v>153.9095194224049</v>
      </c>
      <c r="F121" s="102">
        <f t="shared" si="6"/>
        <v>1932.3618863746708</v>
      </c>
      <c r="G121" s="101">
        <f t="shared" si="10"/>
        <v>48.93454822165306</v>
      </c>
      <c r="H121" s="103">
        <f t="shared" si="7"/>
        <v>6.01477105001183</v>
      </c>
      <c r="I121" s="103">
        <f>(A121-A120)*1000/3600/H121+I120+Gearchange</f>
        <v>3.1403860372931107</v>
      </c>
      <c r="J121" s="103">
        <f t="shared" si="13"/>
        <v>0.25</v>
      </c>
      <c r="K121" s="101">
        <f t="shared" si="15"/>
        <v>6.3309244203553146</v>
      </c>
      <c r="L121" s="101">
        <f t="shared" si="16"/>
        <v>44.09754399196899</v>
      </c>
      <c r="M121" s="147" t="s">
        <v>108</v>
      </c>
      <c r="N121" s="73">
        <v>213</v>
      </c>
      <c r="O121" s="75">
        <v>25</v>
      </c>
    </row>
    <row r="122" spans="1:15" s="14" customFormat="1" ht="12.75">
      <c r="A122" s="95">
        <f>D84</f>
        <v>92.34223914636287</v>
      </c>
      <c r="B122" s="94">
        <f t="shared" si="4"/>
        <v>25.6506219851008</v>
      </c>
      <c r="C122" s="81">
        <f>E84</f>
        <v>2086.2714057970757</v>
      </c>
      <c r="D122" s="94">
        <f t="shared" si="9"/>
        <v>53.51415918842562</v>
      </c>
      <c r="E122" s="81">
        <f t="shared" si="5"/>
        <v>157.90905797340875</v>
      </c>
      <c r="F122" s="81">
        <f t="shared" si="6"/>
        <v>1928.3623478236668</v>
      </c>
      <c r="G122" s="94">
        <f t="shared" si="10"/>
        <v>49.46369363432635</v>
      </c>
      <c r="H122" s="90">
        <f t="shared" si="7"/>
        <v>6.00232187635569</v>
      </c>
      <c r="I122" s="90">
        <f t="shared" si="12"/>
        <v>3.1948523439014513</v>
      </c>
      <c r="J122" s="90">
        <f t="shared" si="13"/>
        <v>0.05446630660834062</v>
      </c>
      <c r="K122" s="94">
        <f t="shared" si="15"/>
        <v>1.3881914620541789</v>
      </c>
      <c r="L122" s="94">
        <f t="shared" si="16"/>
        <v>45.48573545402317</v>
      </c>
      <c r="M122" s="145"/>
      <c r="N122" s="73">
        <v>220</v>
      </c>
      <c r="O122" s="75">
        <v>30</v>
      </c>
    </row>
    <row r="123" spans="1:15" ht="12.75">
      <c r="A123" s="95">
        <f>D85</f>
        <v>105.53398759584327</v>
      </c>
      <c r="B123" s="94">
        <f t="shared" si="4"/>
        <v>29.314996554400906</v>
      </c>
      <c r="C123" s="81">
        <f>E85</f>
        <v>2025.662774871734</v>
      </c>
      <c r="D123" s="94">
        <f t="shared" si="9"/>
        <v>59.382297265743055</v>
      </c>
      <c r="E123" s="81">
        <f t="shared" si="5"/>
        <v>206.24856551628886</v>
      </c>
      <c r="F123" s="81">
        <f t="shared" si="6"/>
        <v>1819.414209355445</v>
      </c>
      <c r="G123" s="94">
        <f t="shared" si="10"/>
        <v>53.336121278282924</v>
      </c>
      <c r="H123" s="90">
        <f t="shared" si="7"/>
        <v>5.663204181149667</v>
      </c>
      <c r="I123" s="90">
        <f t="shared" si="12"/>
        <v>3.8419020444044305</v>
      </c>
      <c r="J123" s="90">
        <f t="shared" si="13"/>
        <v>0.6470497005029792</v>
      </c>
      <c r="K123" s="94">
        <f t="shared" si="15"/>
        <v>17.78274350697279</v>
      </c>
      <c r="L123" s="94">
        <f t="shared" si="16"/>
        <v>63.268478960995964</v>
      </c>
      <c r="M123" s="75"/>
      <c r="N123" s="73">
        <v>225</v>
      </c>
      <c r="O123" s="75">
        <v>35</v>
      </c>
    </row>
    <row r="124" spans="1:15" ht="12.75">
      <c r="A124" s="95">
        <f>D86</f>
        <v>118.72573604532369</v>
      </c>
      <c r="B124" s="94">
        <f t="shared" si="4"/>
        <v>32.97937112370103</v>
      </c>
      <c r="C124" s="81">
        <f>E86</f>
        <v>1925.1426499833237</v>
      </c>
      <c r="D124" s="94">
        <f t="shared" si="9"/>
        <v>63.4899939198653</v>
      </c>
      <c r="E124" s="81">
        <f t="shared" si="5"/>
        <v>261.03334073155327</v>
      </c>
      <c r="F124" s="81">
        <f t="shared" si="6"/>
        <v>1664.1093092517704</v>
      </c>
      <c r="G124" s="94">
        <f t="shared" si="10"/>
        <v>54.8812785002199</v>
      </c>
      <c r="H124" s="90">
        <f t="shared" si="7"/>
        <v>5.179793996103489</v>
      </c>
      <c r="I124" s="90">
        <f t="shared" si="12"/>
        <v>4.549338396517401</v>
      </c>
      <c r="J124" s="90">
        <f t="shared" si="13"/>
        <v>0.7074363521129703</v>
      </c>
      <c r="K124" s="94">
        <f t="shared" si="15"/>
        <v>22.03465011369028</v>
      </c>
      <c r="L124" s="94">
        <f t="shared" si="16"/>
        <v>85.30312907468624</v>
      </c>
      <c r="M124" s="75"/>
      <c r="N124" s="76">
        <v>230</v>
      </c>
      <c r="O124" s="77">
        <v>40</v>
      </c>
    </row>
    <row r="125" spans="1:13" ht="12.75">
      <c r="A125" s="96">
        <f>D87</f>
        <v>127.95995995995996</v>
      </c>
      <c r="B125" s="97">
        <f t="shared" si="4"/>
        <v>35.5444333222111</v>
      </c>
      <c r="C125" s="98">
        <f>E87</f>
        <v>1795.3866646946892</v>
      </c>
      <c r="D125" s="97">
        <f t="shared" si="9"/>
        <v>63.816001590827355</v>
      </c>
      <c r="E125" s="98">
        <f t="shared" si="5"/>
        <v>303.21761764730655</v>
      </c>
      <c r="F125" s="98">
        <f t="shared" si="6"/>
        <v>1492.1690470473827</v>
      </c>
      <c r="G125" s="97">
        <f t="shared" si="10"/>
        <v>53.038303198242964</v>
      </c>
      <c r="H125" s="99">
        <f t="shared" si="7"/>
        <v>4.644603709682225</v>
      </c>
      <c r="I125" s="99">
        <f t="shared" si="12"/>
        <v>5.101605577711547</v>
      </c>
      <c r="J125" s="99">
        <f t="shared" si="13"/>
        <v>0.5522671811941464</v>
      </c>
      <c r="K125" s="97">
        <f t="shared" si="15"/>
        <v>18.921724163021405</v>
      </c>
      <c r="L125" s="97">
        <f t="shared" si="16"/>
        <v>104.22485323770765</v>
      </c>
      <c r="M125" s="75"/>
    </row>
    <row r="126" spans="1:13" s="14" customFormat="1" ht="12.75">
      <c r="A126" s="100">
        <f>A125</f>
        <v>127.95995995995996</v>
      </c>
      <c r="B126" s="101">
        <f t="shared" si="4"/>
        <v>35.5444333222111</v>
      </c>
      <c r="C126" s="102">
        <f>C127</f>
        <v>1607.5898680185996</v>
      </c>
      <c r="D126" s="101">
        <f t="shared" si="9"/>
        <v>57.140870873249256</v>
      </c>
      <c r="E126" s="102">
        <f t="shared" si="5"/>
        <v>303.21761764730655</v>
      </c>
      <c r="F126" s="102">
        <f t="shared" si="6"/>
        <v>1304.3722503712931</v>
      </c>
      <c r="G126" s="101">
        <f t="shared" si="10"/>
        <v>46.36317248066487</v>
      </c>
      <c r="H126" s="103">
        <f t="shared" si="7"/>
        <v>4.060057541649759</v>
      </c>
      <c r="I126" s="103">
        <f>(A126-A125)*1000/3600/H126+I125+Gearchange</f>
        <v>5.351605577711547</v>
      </c>
      <c r="J126" s="103">
        <f t="shared" si="13"/>
        <v>0.25</v>
      </c>
      <c r="K126" s="101">
        <f t="shared" si="15"/>
        <v>8.886108330552775</v>
      </c>
      <c r="L126" s="101">
        <f t="shared" si="16"/>
        <v>113.11096156826042</v>
      </c>
      <c r="M126" s="148" t="s">
        <v>108</v>
      </c>
    </row>
    <row r="127" spans="1:16" ht="12.75">
      <c r="A127" s="95">
        <f>F85</f>
        <v>132.97935898299755</v>
      </c>
      <c r="B127" s="94">
        <f t="shared" si="4"/>
        <v>36.938710828610425</v>
      </c>
      <c r="C127" s="81">
        <f>G85</f>
        <v>1607.5898680185996</v>
      </c>
      <c r="D127" s="94">
        <f t="shared" si="9"/>
        <v>59.38229726574305</v>
      </c>
      <c r="E127" s="81">
        <f t="shared" si="5"/>
        <v>327.47240584312823</v>
      </c>
      <c r="F127" s="81">
        <f t="shared" si="6"/>
        <v>1280.1174621754715</v>
      </c>
      <c r="G127" s="94">
        <f t="shared" si="10"/>
        <v>47.28588876195438</v>
      </c>
      <c r="H127" s="90">
        <f t="shared" si="7"/>
        <v>3.9845608146168647</v>
      </c>
      <c r="I127" s="90">
        <f t="shared" si="12"/>
        <v>5.701525574235279</v>
      </c>
      <c r="J127" s="90">
        <f t="shared" si="13"/>
        <v>0.34991999652373185</v>
      </c>
      <c r="K127" s="94">
        <f t="shared" si="15"/>
        <v>12.681650774642309</v>
      </c>
      <c r="L127" s="94">
        <f t="shared" si="16"/>
        <v>125.79261234290273</v>
      </c>
      <c r="M127" s="65"/>
      <c r="N127" s="4"/>
      <c r="P127" s="4"/>
    </row>
    <row r="128" spans="1:13" s="14" customFormat="1" ht="12.75">
      <c r="A128" s="95">
        <f>F86</f>
        <v>149.60177885587225</v>
      </c>
      <c r="B128" s="94">
        <f t="shared" si="4"/>
        <v>41.55604968218674</v>
      </c>
      <c r="C128" s="81">
        <f>G86</f>
        <v>1527.8159114118268</v>
      </c>
      <c r="D128" s="94">
        <f t="shared" si="9"/>
        <v>63.489993919865285</v>
      </c>
      <c r="E128" s="81">
        <f t="shared" si="5"/>
        <v>414.4572636452094</v>
      </c>
      <c r="F128" s="81">
        <f t="shared" si="6"/>
        <v>1113.3586477666174</v>
      </c>
      <c r="G128" s="94">
        <f t="shared" si="10"/>
        <v>46.2667872806818</v>
      </c>
      <c r="H128" s="90">
        <f t="shared" si="7"/>
        <v>3.4654985746125133</v>
      </c>
      <c r="I128" s="90">
        <f t="shared" si="12"/>
        <v>7.033899186333095</v>
      </c>
      <c r="J128" s="90">
        <f t="shared" si="13"/>
        <v>1.3323736120978156</v>
      </c>
      <c r="K128" s="94">
        <f t="shared" si="15"/>
        <v>52.2921737962619</v>
      </c>
      <c r="L128" s="94">
        <f t="shared" si="16"/>
        <v>178.08478613916463</v>
      </c>
      <c r="M128" s="145"/>
    </row>
    <row r="129" spans="1:13" ht="12.75">
      <c r="A129" s="96">
        <f>F87</f>
        <v>161.23747276688454</v>
      </c>
      <c r="B129" s="97">
        <f t="shared" si="4"/>
        <v>44.78818687969015</v>
      </c>
      <c r="C129" s="98">
        <f>G87</f>
        <v>1424.8400311950481</v>
      </c>
      <c r="D129" s="97">
        <f t="shared" si="9"/>
        <v>63.81600159082736</v>
      </c>
      <c r="E129" s="98">
        <f t="shared" si="5"/>
        <v>481.4356041528118</v>
      </c>
      <c r="F129" s="98">
        <f t="shared" si="6"/>
        <v>943.4044270422364</v>
      </c>
      <c r="G129" s="97">
        <f t="shared" si="10"/>
        <v>42.253373781494695</v>
      </c>
      <c r="H129" s="99">
        <f t="shared" si="7"/>
        <v>2.9364901451623977</v>
      </c>
      <c r="I129" s="99">
        <f t="shared" si="12"/>
        <v>8.13457960333639</v>
      </c>
      <c r="J129" s="99">
        <f t="shared" si="13"/>
        <v>1.1006804170032947</v>
      </c>
      <c r="K129" s="97">
        <f t="shared" si="15"/>
        <v>47.51870515237889</v>
      </c>
      <c r="L129" s="97">
        <f t="shared" si="16"/>
        <v>225.60349129154352</v>
      </c>
      <c r="M129" s="75"/>
    </row>
    <row r="130" spans="1:13" ht="12.75">
      <c r="A130" s="100">
        <f>A129</f>
        <v>161.23747276688454</v>
      </c>
      <c r="B130" s="101">
        <f t="shared" si="4"/>
        <v>44.78818687969015</v>
      </c>
      <c r="C130" s="102">
        <f>C131</f>
        <v>1276.9245730182179</v>
      </c>
      <c r="D130" s="101">
        <f t="shared" si="9"/>
        <v>57.1911364076085</v>
      </c>
      <c r="E130" s="102">
        <f t="shared" si="5"/>
        <v>481.4356041528118</v>
      </c>
      <c r="F130" s="102">
        <f t="shared" si="6"/>
        <v>795.4889688654062</v>
      </c>
      <c r="G130" s="101">
        <f t="shared" si="10"/>
        <v>35.62850859827583</v>
      </c>
      <c r="H130" s="103">
        <f t="shared" si="7"/>
        <v>2.476080724978495</v>
      </c>
      <c r="I130" s="103">
        <f>(A130-A129)*1000/3600/H130+I129+Gearchange</f>
        <v>8.38457960333639</v>
      </c>
      <c r="J130" s="103">
        <f t="shared" si="13"/>
        <v>0.25</v>
      </c>
      <c r="K130" s="101">
        <f t="shared" si="15"/>
        <v>11.197046719922538</v>
      </c>
      <c r="L130" s="101">
        <f t="shared" si="16"/>
        <v>236.80053801146605</v>
      </c>
      <c r="M130" s="147" t="s">
        <v>108</v>
      </c>
    </row>
    <row r="131" spans="1:13" s="14" customFormat="1" ht="12.75">
      <c r="A131" s="95">
        <f>H86</f>
        <v>178.99567675424015</v>
      </c>
      <c r="B131" s="94">
        <f t="shared" si="4"/>
        <v>49.72102132062226</v>
      </c>
      <c r="C131" s="81">
        <f>I86</f>
        <v>1276.9245730182179</v>
      </c>
      <c r="D131" s="94">
        <f t="shared" si="9"/>
        <v>63.48999391986529</v>
      </c>
      <c r="E131" s="81">
        <f t="shared" si="5"/>
        <v>593.3231906797857</v>
      </c>
      <c r="F131" s="81">
        <f t="shared" si="6"/>
        <v>683.6013823384321</v>
      </c>
      <c r="G131" s="94">
        <f t="shared" si="10"/>
        <v>33.98935890605603</v>
      </c>
      <c r="H131" s="90">
        <f t="shared" si="7"/>
        <v>2.1278135494336907</v>
      </c>
      <c r="I131" s="90">
        <f t="shared" si="12"/>
        <v>10.702844021872952</v>
      </c>
      <c r="J131" s="90">
        <f t="shared" si="13"/>
        <v>2.318264418536563</v>
      </c>
      <c r="K131" s="94">
        <f t="shared" si="15"/>
        <v>109.5486672974241</v>
      </c>
      <c r="L131" s="94">
        <f t="shared" si="16"/>
        <v>346.34920530889013</v>
      </c>
      <c r="M131" s="145"/>
    </row>
    <row r="132" spans="1:13" ht="12.75">
      <c r="A132" s="96">
        <f>H87</f>
        <v>192.91756272401437</v>
      </c>
      <c r="B132" s="97">
        <f t="shared" si="4"/>
        <v>53.588211867781766</v>
      </c>
      <c r="C132" s="98">
        <f>I87</f>
        <v>1190.8589476409595</v>
      </c>
      <c r="D132" s="97">
        <f t="shared" si="9"/>
        <v>63.81600159082737</v>
      </c>
      <c r="E132" s="98">
        <f t="shared" si="5"/>
        <v>689.207148284704</v>
      </c>
      <c r="F132" s="98">
        <f t="shared" si="6"/>
        <v>501.65179935625554</v>
      </c>
      <c r="G132" s="97">
        <f t="shared" si="10"/>
        <v>26.88262290775697</v>
      </c>
      <c r="H132" s="99">
        <f t="shared" si="7"/>
        <v>1.561467725703897</v>
      </c>
      <c r="I132" s="99">
        <f t="shared" si="12"/>
        <v>13.179482176796204</v>
      </c>
      <c r="J132" s="99">
        <f t="shared" si="13"/>
        <v>2.4766381549232523</v>
      </c>
      <c r="K132" s="97">
        <f t="shared" si="15"/>
        <v>127.92979433513248</v>
      </c>
      <c r="L132" s="97">
        <f t="shared" si="16"/>
        <v>474.27899964402263</v>
      </c>
      <c r="M132" s="75"/>
    </row>
    <row r="133" spans="1:13" ht="12.75">
      <c r="A133" s="100">
        <f>A132</f>
        <v>192.91756272401437</v>
      </c>
      <c r="B133" s="101">
        <f t="shared" si="4"/>
        <v>53.588211867781766</v>
      </c>
      <c r="C133" s="102">
        <f>C134</f>
        <v>1140.677037931907</v>
      </c>
      <c r="D133" s="101">
        <f t="shared" si="9"/>
        <v>61.126842781408776</v>
      </c>
      <c r="E133" s="102">
        <f t="shared" si="5"/>
        <v>689.207148284704</v>
      </c>
      <c r="F133" s="102">
        <f t="shared" si="6"/>
        <v>451.4698896472031</v>
      </c>
      <c r="G133" s="101">
        <f t="shared" si="10"/>
        <v>24.19346409833837</v>
      </c>
      <c r="H133" s="103">
        <f t="shared" si="7"/>
        <v>1.4052688791624819</v>
      </c>
      <c r="I133" s="103">
        <f>(A133-A132)*1000/3600/H133+I132+Gearchange</f>
        <v>13.429482176796204</v>
      </c>
      <c r="J133" s="103">
        <f t="shared" si="13"/>
        <v>0.25</v>
      </c>
      <c r="K133" s="101">
        <f t="shared" si="15"/>
        <v>13.397052966945441</v>
      </c>
      <c r="L133" s="101">
        <f t="shared" si="16"/>
        <v>487.6760526109681</v>
      </c>
      <c r="M133" s="147" t="s">
        <v>108</v>
      </c>
    </row>
    <row r="134" spans="1:13" ht="12.75">
      <c r="A134" s="95">
        <f>J86</f>
        <v>200.37571592210764</v>
      </c>
      <c r="B134" s="94">
        <f t="shared" si="4"/>
        <v>55.65992108947435</v>
      </c>
      <c r="C134" s="81">
        <f>K86</f>
        <v>1140.677037931907</v>
      </c>
      <c r="D134" s="94">
        <f>C134*B134/1000</f>
        <v>63.48999391986529</v>
      </c>
      <c r="E134" s="81">
        <f>M_tot*9.81*SIN(RADIANS(incline))+Cd*A*POWER(A134*1000/3600,2)</f>
        <v>743.5264357647628</v>
      </c>
      <c r="F134" s="81">
        <f>C134-E134</f>
        <v>397.15060216714426</v>
      </c>
      <c r="G134" s="94">
        <f>F134*B134/1000</f>
        <v>22.10537117726047</v>
      </c>
      <c r="H134" s="90">
        <f>F134/M_tot</f>
        <v>1.236191813372653</v>
      </c>
      <c r="I134" s="90">
        <f>(A134-A133)*1000/3600/H134+I133</f>
        <v>15.105362245958297</v>
      </c>
      <c r="J134" s="90">
        <f>I134-I133</f>
        <v>1.6758800691620923</v>
      </c>
      <c r="K134" s="94">
        <f t="shared" si="15"/>
        <v>91.54338430811792</v>
      </c>
      <c r="L134" s="94">
        <f t="shared" si="16"/>
        <v>579.219436919086</v>
      </c>
      <c r="M134" s="75"/>
    </row>
    <row r="135" spans="1:13" ht="12.75">
      <c r="A135" s="96">
        <f>J87</f>
        <v>215.96049382716046</v>
      </c>
      <c r="B135" s="97">
        <f t="shared" si="4"/>
        <v>59.98902606310013</v>
      </c>
      <c r="C135" s="98">
        <f>M87</f>
        <v>990.2483005473212</v>
      </c>
      <c r="D135" s="97">
        <f>C135*B135/1000</f>
        <v>59.40403111047386</v>
      </c>
      <c r="E135" s="98">
        <f>M_tot*9.81*SIN(RADIANS(incline))+Cd*A*POWER(A135*1000/3600,2)</f>
        <v>863.6839795198335</v>
      </c>
      <c r="F135" s="98">
        <f>C135-E135</f>
        <v>126.56432102748761</v>
      </c>
      <c r="G135" s="97">
        <f>F135*B135/1000</f>
        <v>7.592470352776526</v>
      </c>
      <c r="H135" s="99">
        <f>F135/M_tot</f>
        <v>0.3939507498301662</v>
      </c>
      <c r="I135" s="99">
        <f>(A135-A134)*1000/3600/H135+I134</f>
        <v>26.09431194459976</v>
      </c>
      <c r="J135" s="99">
        <f>I135-I134</f>
        <v>10.988949698641463</v>
      </c>
      <c r="K135" s="97">
        <f t="shared" si="15"/>
        <v>635.4302314802429</v>
      </c>
      <c r="L135" s="97">
        <f t="shared" si="16"/>
        <v>1214.649668399329</v>
      </c>
      <c r="M135" s="75"/>
    </row>
    <row r="136" spans="1:13" ht="12.75">
      <c r="A136" s="100">
        <f>A135</f>
        <v>215.96049382716046</v>
      </c>
      <c r="B136" s="101">
        <f t="shared" si="4"/>
        <v>59.98902606310013</v>
      </c>
      <c r="C136" s="102">
        <f>C137</f>
        <v>1061.8154155563677</v>
      </c>
      <c r="D136" s="101">
        <f>C136*B136/1000</f>
        <v>63.697272638012436</v>
      </c>
      <c r="E136" s="102">
        <f>M_tot*9.81*SIN(RADIANS(incline))+Cd*A*POWER(A136*1000/3600,2)</f>
        <v>863.6839795198335</v>
      </c>
      <c r="F136" s="102">
        <f>C136-E136</f>
        <v>198.13143603653418</v>
      </c>
      <c r="G136" s="101">
        <f>F136*B136/1000</f>
        <v>11.885711880315105</v>
      </c>
      <c r="H136" s="103">
        <f>F136/M_tot</f>
        <v>0.6167143090394982</v>
      </c>
      <c r="I136" s="103">
        <f>(A136-A135)*1000/3600/H136+I135+Gearchange</f>
        <v>26.34431194459976</v>
      </c>
      <c r="J136" s="103">
        <f>I136-I135</f>
        <v>0.25</v>
      </c>
      <c r="K136" s="101">
        <f t="shared" si="15"/>
        <v>14.997256515775032</v>
      </c>
      <c r="L136" s="101">
        <f t="shared" si="16"/>
        <v>1229.646924915104</v>
      </c>
      <c r="M136" s="147" t="s">
        <v>108</v>
      </c>
    </row>
    <row r="137" spans="1:13" ht="12.75">
      <c r="A137" s="95">
        <f>L86</f>
        <v>215.2577319587629</v>
      </c>
      <c r="B137" s="94">
        <f t="shared" si="4"/>
        <v>59.79381443298969</v>
      </c>
      <c r="C137" s="81">
        <f>M86</f>
        <v>1061.8154155563677</v>
      </c>
      <c r="D137" s="94">
        <f>C137*B137/1000</f>
        <v>63.489993919865285</v>
      </c>
      <c r="E137" s="81">
        <f>M_tot*9.81*SIN(RADIANS(incline))+Cd*A*POWER(A137*1000/3600,2)</f>
        <v>858.0720586672335</v>
      </c>
      <c r="F137" s="81">
        <f>C137-E137</f>
        <v>203.74335688913425</v>
      </c>
      <c r="G137" s="94">
        <f>F137*B137/1000</f>
        <v>12.182592473783284</v>
      </c>
      <c r="H137" s="90">
        <f>F137/M_tot</f>
        <v>0.6341822684922194</v>
      </c>
      <c r="I137" s="90">
        <f>(A137-A136)*1000/3600/H137+I136</f>
        <v>26.03649565926817</v>
      </c>
      <c r="J137" s="90">
        <f>I137-I136</f>
        <v>-0.3078162853315902</v>
      </c>
      <c r="K137" s="94">
        <f t="shared" si="15"/>
        <v>-18.43555450398637</v>
      </c>
      <c r="L137" s="94">
        <f t="shared" si="16"/>
        <v>1211.2113704111175</v>
      </c>
      <c r="M137" s="75"/>
    </row>
    <row r="138" spans="1:13" ht="12.75">
      <c r="A138" s="104">
        <f>L87</f>
        <v>232</v>
      </c>
      <c r="B138" s="105">
        <f t="shared" si="4"/>
        <v>64.44444444444444</v>
      </c>
      <c r="C138" s="82">
        <f>M87</f>
        <v>990.2483005473212</v>
      </c>
      <c r="D138" s="105">
        <f>C138*B138/1000</f>
        <v>63.81600159082736</v>
      </c>
      <c r="E138" s="82">
        <f>M_tot*9.81*SIN(RADIANS(incline))+Cd*A*POWER(A138*1000/3600,2)</f>
        <v>996.7407407407406</v>
      </c>
      <c r="F138" s="82">
        <f>C138-E138</f>
        <v>-6.4924401934194975</v>
      </c>
      <c r="G138" s="105">
        <f>F138*B138/1000</f>
        <v>-0.41840170135370097</v>
      </c>
      <c r="H138" s="106">
        <f>F138/M_tot</f>
        <v>-0.020208710177251545</v>
      </c>
      <c r="I138" s="106">
        <f>(A138-A137)*1000/3600/H138+I137</f>
        <v>-204.09348149730732</v>
      </c>
      <c r="J138" s="106">
        <f>I138-I137</f>
        <v>-230.12997715657548</v>
      </c>
      <c r="K138" s="105">
        <f t="shared" si="15"/>
        <v>-14295.473838718313</v>
      </c>
      <c r="L138" s="105">
        <f t="shared" si="16"/>
        <v>-13084.262468307195</v>
      </c>
      <c r="M138" s="77"/>
    </row>
    <row r="139" spans="1:6" ht="12.75">
      <c r="A139" s="30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ht="12.75">
      <c r="A141" s="1"/>
      <c r="B141" s="1"/>
      <c r="C141" s="1"/>
      <c r="D141" s="1"/>
      <c r="F141" s="2"/>
    </row>
    <row r="142" spans="1:6" s="14" customFormat="1" ht="12.75">
      <c r="A142" s="31"/>
      <c r="B142" s="11"/>
      <c r="C142" s="11"/>
      <c r="D142" s="11"/>
      <c r="F142" s="13"/>
    </row>
    <row r="143" spans="1:6" ht="12.75">
      <c r="A143" s="1"/>
      <c r="B143" s="1"/>
      <c r="C143" s="1"/>
      <c r="D143" s="1"/>
      <c r="F143" s="2"/>
    </row>
    <row r="144" spans="1:6" ht="12.75">
      <c r="A144" s="1"/>
      <c r="B144" s="1"/>
      <c r="C144" s="1"/>
      <c r="D144" s="1"/>
      <c r="F144" s="2"/>
    </row>
    <row r="145" spans="1:6" ht="12.75">
      <c r="A145" s="1"/>
      <c r="B145" s="1"/>
      <c r="C145" s="1"/>
      <c r="D145" s="1"/>
      <c r="F145" s="2"/>
    </row>
    <row r="146" spans="1:6" s="14" customFormat="1" ht="12.75">
      <c r="A146" s="11"/>
      <c r="B146" s="11"/>
      <c r="C146" s="11"/>
      <c r="D146" s="11"/>
      <c r="F146" s="13"/>
    </row>
    <row r="147" spans="1:6" ht="12.75">
      <c r="A147" s="1"/>
      <c r="B147" s="1"/>
      <c r="C147" s="1"/>
      <c r="D147" s="1"/>
      <c r="F147" s="2"/>
    </row>
    <row r="148" spans="1:6" ht="12.75">
      <c r="A148" s="1"/>
      <c r="B148" s="1"/>
      <c r="C148" s="1"/>
      <c r="D148" s="1"/>
      <c r="F148" s="2"/>
    </row>
    <row r="149" spans="1:6" s="14" customFormat="1" ht="12.75">
      <c r="A149" s="11"/>
      <c r="B149" s="11"/>
      <c r="C149" s="11"/>
      <c r="D149" s="11"/>
      <c r="F149" s="13"/>
    </row>
    <row r="150" spans="1:6" ht="12.75">
      <c r="A150" s="1"/>
      <c r="B150" s="1"/>
      <c r="C150" s="1"/>
      <c r="D150" s="1"/>
      <c r="F150" s="2"/>
    </row>
    <row r="151" spans="1:6" ht="12.75">
      <c r="A151" s="1"/>
      <c r="B151" s="1"/>
      <c r="C151" s="1"/>
      <c r="D151" s="1"/>
      <c r="F151" s="2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6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114</v>
      </c>
      <c r="D1" s="4" t="s">
        <v>100</v>
      </c>
      <c r="E1" s="5" t="s">
        <v>125</v>
      </c>
    </row>
    <row r="2" ht="12.75">
      <c r="A2" s="14" t="s">
        <v>99</v>
      </c>
    </row>
    <row r="3" spans="1:13" ht="13.5" thickBot="1">
      <c r="A3" s="4" t="s">
        <v>79</v>
      </c>
      <c r="D3" s="130"/>
      <c r="E3" s="62" t="s">
        <v>69</v>
      </c>
      <c r="F3" s="61"/>
      <c r="G3" s="61"/>
      <c r="H3" s="61"/>
      <c r="I3" s="61"/>
      <c r="J3" s="61"/>
      <c r="K3" s="62" t="s">
        <v>93</v>
      </c>
      <c r="L3" s="67"/>
      <c r="M3" s="63"/>
    </row>
    <row r="4" spans="1:13" ht="12.75">
      <c r="A4" s="41"/>
      <c r="B4" s="37" t="s">
        <v>13</v>
      </c>
      <c r="C4" s="36" t="s">
        <v>2</v>
      </c>
      <c r="D4" s="39" t="s">
        <v>74</v>
      </c>
      <c r="E4" s="64">
        <v>60</v>
      </c>
      <c r="F4" s="26" t="s">
        <v>18</v>
      </c>
      <c r="G4" s="131">
        <f>(a_ref1*1.609-INDEX($A$112:$I$136,MATCH(a_ref1*1.609,$A$112:$A$136,1),1))/(INDEX($A$112:$I$136,MATCH(a_ref1*1.609,$A$112:$A$136,1)+1,1)-INDEX($A$112:$I$136,MATCH(a_ref1*1.609,$A$112:$A$136,1),1))*(INDEX($A$112:$I$136,MATCH(a_ref1*1.609,$A$112:$A$136,1)+1,9)-INDEX($A$112:$I$136,MATCH(a_ref1*1.609,$A$112:$A$136,1),9))+INDEX($A$112:$I$136,MATCH(a_ref1*1.609,$A$112:$A$136,1),9)</f>
        <v>3.444888431089431</v>
      </c>
      <c r="H4" s="64" t="s">
        <v>4</v>
      </c>
      <c r="I4" s="26"/>
      <c r="J4" s="26"/>
      <c r="K4" s="26" t="s">
        <v>2</v>
      </c>
      <c r="L4" s="132">
        <f>krpmMax/krpm10</f>
        <v>1.2125</v>
      </c>
      <c r="M4" s="75"/>
    </row>
    <row r="5" spans="1:13" ht="12.75">
      <c r="A5" s="18" t="s">
        <v>58</v>
      </c>
      <c r="B5" s="19"/>
      <c r="C5" s="42"/>
      <c r="D5" s="39" t="s">
        <v>74</v>
      </c>
      <c r="E5" s="64">
        <v>100</v>
      </c>
      <c r="F5" s="26" t="s">
        <v>18</v>
      </c>
      <c r="G5" s="131">
        <f>(a_ref2*1.609-INDEX($A$112:$I$136,MATCH(a_ref2*1.609,$A$112:$A$136,1),1))/(INDEX($A$112:$I$136,MATCH(a_ref2*1.609,$A$112:$A$136,1)+1,1)-INDEX($A$112:$I$136,MATCH(a_ref2*1.609,$A$112:$A$136,1),1))*(INDEX($A$112:$I$136,MATCH(a_ref2*1.609,$A$112:$A$136,1)+1,9)-INDEX($A$112:$I$136,MATCH(a_ref2*1.609,$A$112:$A$136,1),9))+INDEX($A$112:$I$136,MATCH(a_ref2*1.609,$A$112:$A$136,1),9)</f>
        <v>8.670294589776118</v>
      </c>
      <c r="H5" s="64" t="s">
        <v>4</v>
      </c>
      <c r="I5" s="26"/>
      <c r="J5" s="26"/>
      <c r="K5" s="26" t="s">
        <v>91</v>
      </c>
      <c r="L5" s="132">
        <f>Torque10/TorqueRpmMax</f>
        <v>1.1049876847290638</v>
      </c>
      <c r="M5" s="75"/>
    </row>
    <row r="6" spans="1:13" ht="12.75">
      <c r="A6" s="18" t="s">
        <v>59</v>
      </c>
      <c r="B6" s="19"/>
      <c r="C6" s="42"/>
      <c r="D6" s="26"/>
      <c r="E6" s="64" t="s">
        <v>51</v>
      </c>
      <c r="F6" s="26"/>
      <c r="G6" s="133">
        <f>(402.336-INDEX($A$112:$L$136,MATCH(402.336,$L$112:$L$136,1),12))/(INDEX($A$112:$L$136,MATCH(402.336,$L$112:$L$136,1)+1,12)-INDEX($A$112:$L$136,MATCH(402.336,$L$112:$L$136,1),12))*(INDEX($A$112:$L$136,MATCH(402.336,$L$112:$L$136,1)+1,9)-INDEX($A$112:$L$136,MATCH(402.336,$L$112:$L$136,1),9))+INDEX($A$112:$L$136,MATCH(402.336,$L$112:$L$136,1),9)</f>
        <v>11.90682800994173</v>
      </c>
      <c r="H6" s="64" t="s">
        <v>68</v>
      </c>
      <c r="I6" s="134">
        <f>((402.336-INDEX($A$112:$L$136,MATCH(402.336,$L$112:$L$136,1),12))/(INDEX($A$112:$L$136,MATCH(402.336,$L$112:$L$136,1)+1,12)-INDEX($A$112:$L$136,MATCH(402.336,$L$112:$L$136,1),12))*(INDEX($A$112:$L$136,MATCH(402.336,$L$112:$L$136,1)+1,1)-INDEX($A$112:$L$136,MATCH(402.336,$L$112:$L$136,1),1))+INDEX($A$112:$L$136,MATCH(402.336,$L$112:$L$136,1),1))/1.609</f>
        <v>112.60994117563551</v>
      </c>
      <c r="J6" s="64" t="s">
        <v>18</v>
      </c>
      <c r="K6" s="64" t="s">
        <v>92</v>
      </c>
      <c r="L6" s="152">
        <f>L4*L5</f>
        <v>1.3397975677339897</v>
      </c>
      <c r="M6" s="75"/>
    </row>
    <row r="7" spans="1:19" ht="12.75">
      <c r="A7" s="18" t="s">
        <v>60</v>
      </c>
      <c r="B7" s="19"/>
      <c r="C7" s="42"/>
      <c r="D7" s="110"/>
      <c r="E7" s="110"/>
      <c r="F7" s="110"/>
      <c r="G7" s="110"/>
      <c r="H7" s="135"/>
      <c r="I7" s="110"/>
      <c r="J7" s="110"/>
      <c r="K7" s="110"/>
      <c r="L7" s="77"/>
      <c r="M7" s="77"/>
      <c r="S7" s="38"/>
    </row>
    <row r="8" spans="1:4" ht="12.75">
      <c r="A8" s="18" t="s">
        <v>61</v>
      </c>
      <c r="B8" s="19"/>
      <c r="C8" s="42"/>
      <c r="D8" s="26"/>
    </row>
    <row r="9" spans="1:6" ht="12.75">
      <c r="A9" s="18" t="s">
        <v>62</v>
      </c>
      <c r="B9" s="19">
        <v>20.887999999999998</v>
      </c>
      <c r="C9" s="42">
        <v>3000</v>
      </c>
      <c r="D9" s="26"/>
      <c r="E9" s="5">
        <v>28</v>
      </c>
      <c r="F9" s="5">
        <f>E9*0.746</f>
        <v>20.887999999999998</v>
      </c>
    </row>
    <row r="10" spans="1:6" ht="12.75">
      <c r="A10" s="18" t="s">
        <v>63</v>
      </c>
      <c r="B10" s="19">
        <v>29.84</v>
      </c>
      <c r="C10" s="42">
        <v>4000</v>
      </c>
      <c r="D10" s="26"/>
      <c r="E10" s="5">
        <v>40</v>
      </c>
      <c r="F10" s="5">
        <f aca="true" t="shared" si="0" ref="F10:F16">E10*0.746</f>
        <v>29.84</v>
      </c>
    </row>
    <row r="11" spans="1:6" ht="12.75">
      <c r="A11" s="18" t="s">
        <v>64</v>
      </c>
      <c r="B11" s="19">
        <v>41.03</v>
      </c>
      <c r="C11" s="42">
        <v>5000</v>
      </c>
      <c r="D11" s="26"/>
      <c r="E11" s="5">
        <v>55</v>
      </c>
      <c r="F11" s="5">
        <f t="shared" si="0"/>
        <v>41.03</v>
      </c>
    </row>
    <row r="12" spans="1:6" ht="12.75">
      <c r="A12" s="18" t="s">
        <v>75</v>
      </c>
      <c r="B12" s="19">
        <v>49.982</v>
      </c>
      <c r="C12" s="42">
        <v>6000</v>
      </c>
      <c r="D12" s="26"/>
      <c r="E12" s="5">
        <v>67</v>
      </c>
      <c r="F12" s="5">
        <f t="shared" si="0"/>
        <v>49.982</v>
      </c>
    </row>
    <row r="13" spans="1:6" ht="12.75">
      <c r="A13" s="18" t="s">
        <v>88</v>
      </c>
      <c r="B13" s="19">
        <v>59.307</v>
      </c>
      <c r="C13" s="42">
        <v>7000</v>
      </c>
      <c r="D13" s="26"/>
      <c r="E13" s="5">
        <v>79.5</v>
      </c>
      <c r="F13" s="5">
        <f t="shared" si="0"/>
        <v>59.307</v>
      </c>
    </row>
    <row r="14" spans="1:6" ht="12.75">
      <c r="A14" s="18" t="s">
        <v>89</v>
      </c>
      <c r="B14" s="19">
        <v>69.005</v>
      </c>
      <c r="C14" s="42">
        <v>8000</v>
      </c>
      <c r="D14" s="26"/>
      <c r="E14" s="5">
        <v>92.5</v>
      </c>
      <c r="F14" s="5">
        <f t="shared" si="0"/>
        <v>69.005</v>
      </c>
    </row>
    <row r="15" spans="1:6" ht="12.75">
      <c r="A15" s="18" t="s">
        <v>90</v>
      </c>
      <c r="B15" s="19">
        <v>74.6</v>
      </c>
      <c r="C15" s="42">
        <v>9000</v>
      </c>
      <c r="D15" s="26"/>
      <c r="E15" s="5">
        <v>100</v>
      </c>
      <c r="F15" s="5">
        <f t="shared" si="0"/>
        <v>74.6</v>
      </c>
    </row>
    <row r="16" spans="1:6" ht="13.5" thickBot="1">
      <c r="A16" s="21" t="s">
        <v>65</v>
      </c>
      <c r="B16" s="22">
        <v>75.719</v>
      </c>
      <c r="C16" s="43">
        <v>9700</v>
      </c>
      <c r="D16" s="26" t="s">
        <v>20</v>
      </c>
      <c r="E16" s="5">
        <v>101.5</v>
      </c>
      <c r="F16" s="5">
        <f t="shared" si="0"/>
        <v>75.719</v>
      </c>
    </row>
    <row r="17" spans="1:5" ht="12.75">
      <c r="A17" s="118" t="s">
        <v>33</v>
      </c>
      <c r="B17" s="123">
        <v>0.24</v>
      </c>
      <c r="C17" s="17"/>
      <c r="D17" s="17"/>
      <c r="E17" s="15"/>
    </row>
    <row r="18" spans="1:5" ht="12.75">
      <c r="A18" s="18" t="s">
        <v>70</v>
      </c>
      <c r="B18" s="124">
        <v>1</v>
      </c>
      <c r="C18" s="26" t="s">
        <v>66</v>
      </c>
      <c r="D18" s="26"/>
      <c r="E18" s="20"/>
    </row>
    <row r="19" spans="1:5" ht="12.75">
      <c r="A19" s="18" t="s">
        <v>71</v>
      </c>
      <c r="B19" s="124">
        <v>0.25</v>
      </c>
      <c r="C19" s="26" t="s">
        <v>4</v>
      </c>
      <c r="D19" s="26"/>
      <c r="E19" s="20"/>
    </row>
    <row r="20" spans="1:5" ht="12.75">
      <c r="A20" s="18" t="s">
        <v>23</v>
      </c>
      <c r="B20" s="125">
        <v>0.0466</v>
      </c>
      <c r="C20" s="126" t="s">
        <v>84</v>
      </c>
      <c r="D20" s="26"/>
      <c r="E20" s="20"/>
    </row>
    <row r="21" spans="1:5" ht="12.75">
      <c r="A21" s="18" t="s">
        <v>24</v>
      </c>
      <c r="B21" s="137">
        <v>0.0462</v>
      </c>
      <c r="C21" s="126" t="s">
        <v>85</v>
      </c>
      <c r="D21" s="26"/>
      <c r="E21" s="20"/>
    </row>
    <row r="22" spans="1:5" ht="12.75">
      <c r="A22" s="18" t="s">
        <v>83</v>
      </c>
      <c r="B22" s="137">
        <v>0.0806</v>
      </c>
      <c r="C22" s="126" t="s">
        <v>86</v>
      </c>
      <c r="D22" s="26"/>
      <c r="E22" s="20"/>
    </row>
    <row r="23" spans="1:5" ht="12.75">
      <c r="A23" s="18" t="s">
        <v>36</v>
      </c>
      <c r="B23" s="119">
        <v>0</v>
      </c>
      <c r="C23" s="26" t="s">
        <v>6</v>
      </c>
      <c r="D23" s="26"/>
      <c r="E23" s="20"/>
    </row>
    <row r="24" spans="1:5" ht="12.75">
      <c r="A24" s="18" t="s">
        <v>22</v>
      </c>
      <c r="B24" s="119">
        <v>90</v>
      </c>
      <c r="C24" s="26" t="s">
        <v>6</v>
      </c>
      <c r="D24" s="26"/>
      <c r="E24" s="20"/>
    </row>
    <row r="25" spans="1:5" ht="12.75">
      <c r="A25" s="18" t="s">
        <v>12</v>
      </c>
      <c r="B25" s="119">
        <v>208</v>
      </c>
      <c r="C25" s="26" t="s">
        <v>72</v>
      </c>
      <c r="D25" s="119">
        <v>9700</v>
      </c>
      <c r="E25" s="20" t="s">
        <v>2</v>
      </c>
    </row>
    <row r="26" spans="1:5" ht="13.5" thickBot="1">
      <c r="A26" s="21" t="s">
        <v>76</v>
      </c>
      <c r="B26" s="127">
        <v>208</v>
      </c>
      <c r="C26" s="128" t="s">
        <v>77</v>
      </c>
      <c r="D26" s="129">
        <f>Vmax_actual/1.609</f>
        <v>129.27284027346178</v>
      </c>
      <c r="E26" s="23" t="s">
        <v>18</v>
      </c>
    </row>
    <row r="27" ht="12.75"/>
    <row r="28" ht="13.5" thickBot="1">
      <c r="A28" s="4" t="s">
        <v>19</v>
      </c>
    </row>
    <row r="29" spans="1:4" ht="12.75">
      <c r="A29" s="16"/>
      <c r="B29" s="17" t="s">
        <v>9</v>
      </c>
      <c r="C29" s="17" t="s">
        <v>10</v>
      </c>
      <c r="D29" s="15" t="s">
        <v>67</v>
      </c>
    </row>
    <row r="30" spans="1:4" ht="12.75">
      <c r="A30" s="24" t="s">
        <v>25</v>
      </c>
      <c r="B30" s="44">
        <v>105</v>
      </c>
      <c r="C30" s="44">
        <v>60</v>
      </c>
      <c r="D30" s="20"/>
    </row>
    <row r="31" spans="1:4" ht="12.75">
      <c r="A31" s="24" t="s">
        <v>26</v>
      </c>
      <c r="B31" s="44">
        <v>41</v>
      </c>
      <c r="C31" s="44">
        <v>15</v>
      </c>
      <c r="D31" s="34">
        <f>Crown_p/Pinion_p*Crown_1/Pinion_1*Crown_f/Pinion_f</f>
        <v>12.943137254901961</v>
      </c>
    </row>
    <row r="32" spans="1:4" ht="12.75">
      <c r="A32" s="24" t="s">
        <v>27</v>
      </c>
      <c r="B32" s="44">
        <v>37</v>
      </c>
      <c r="C32" s="44">
        <v>19</v>
      </c>
      <c r="D32" s="34">
        <f>Crown_p/Pinion_p*Crown_2/Pinion_2*Crown_f/Pinion_f</f>
        <v>9.221362229102168</v>
      </c>
    </row>
    <row r="33" spans="1:4" ht="12.75">
      <c r="A33" s="24" t="s">
        <v>28</v>
      </c>
      <c r="B33" s="44">
        <v>34</v>
      </c>
      <c r="C33" s="44">
        <v>22</v>
      </c>
      <c r="D33" s="34">
        <f>Crown_p/Pinion_p*Crown_3/Pinion_3*Crown_f/Pinion_f</f>
        <v>7.318181818181818</v>
      </c>
    </row>
    <row r="34" spans="1:4" ht="12.75">
      <c r="A34" s="24" t="s">
        <v>29</v>
      </c>
      <c r="B34" s="44">
        <v>31</v>
      </c>
      <c r="C34" s="44">
        <v>24</v>
      </c>
      <c r="D34" s="34">
        <f>Crown_p/Pinion_p*Crown_4/Pinion_4*Crown_f/Pinion_f</f>
        <v>6.116421568627451</v>
      </c>
    </row>
    <row r="35" spans="1:4" ht="12.75">
      <c r="A35" s="24" t="s">
        <v>30</v>
      </c>
      <c r="B35" s="44" t="s">
        <v>115</v>
      </c>
      <c r="C35" s="44"/>
      <c r="D35" s="34"/>
    </row>
    <row r="36" spans="1:4" ht="12.75">
      <c r="A36" s="24" t="s">
        <v>31</v>
      </c>
      <c r="B36" s="44">
        <v>30</v>
      </c>
      <c r="C36" s="44">
        <v>26</v>
      </c>
      <c r="D36" s="34">
        <f>Crown_p/Pinion_p*Crown_6/Pinion_6*Crown_f/Pinion_f</f>
        <v>5.463800904977376</v>
      </c>
    </row>
    <row r="37" spans="1:4" ht="13.5" thickBot="1">
      <c r="A37" s="25" t="s">
        <v>32</v>
      </c>
      <c r="B37" s="45">
        <v>46</v>
      </c>
      <c r="C37" s="45">
        <v>17</v>
      </c>
      <c r="D37" s="23"/>
    </row>
    <row r="38" spans="1:3" ht="12.75">
      <c r="A38" s="118" t="s">
        <v>21</v>
      </c>
      <c r="B38" s="138">
        <v>209</v>
      </c>
      <c r="C38" s="15" t="s">
        <v>6</v>
      </c>
    </row>
    <row r="39" spans="1:3" ht="12.75">
      <c r="A39" s="18" t="s">
        <v>34</v>
      </c>
      <c r="B39" s="140">
        <v>10</v>
      </c>
      <c r="C39" s="141" t="s">
        <v>109</v>
      </c>
    </row>
    <row r="40" spans="1:3" ht="12.75">
      <c r="A40" s="18" t="s">
        <v>56</v>
      </c>
      <c r="B40" s="142">
        <v>3.75</v>
      </c>
      <c r="C40" s="20" t="s">
        <v>37</v>
      </c>
    </row>
    <row r="41" spans="1:3" ht="12.75">
      <c r="A41" s="18" t="s">
        <v>57</v>
      </c>
      <c r="B41" s="142">
        <v>0.75</v>
      </c>
      <c r="C41" s="20" t="s">
        <v>37</v>
      </c>
    </row>
    <row r="42" spans="1:3" ht="12.75">
      <c r="A42" s="18" t="s">
        <v>35</v>
      </c>
      <c r="B42" s="143">
        <v>2.8</v>
      </c>
      <c r="C42" s="20" t="s">
        <v>37</v>
      </c>
    </row>
    <row r="43" spans="1:3" ht="12.75">
      <c r="A43" s="18" t="s">
        <v>38</v>
      </c>
      <c r="B43" s="70">
        <f>SUM(M_bike,V_fuel*0.7,(V_oil+V_fork)*0.9,V_water,M_accessories,M_rider)</f>
        <v>312.85</v>
      </c>
      <c r="C43" s="20" t="s">
        <v>6</v>
      </c>
    </row>
    <row r="44" spans="1:3" ht="12.75">
      <c r="A44" s="18" t="s">
        <v>82</v>
      </c>
      <c r="B44" s="120">
        <f>(1-Loss_crank_gearbox)*(1-Loss_gearbox_wheel)*(1-Loss_wheel_road)</f>
        <v>0.836059074648</v>
      </c>
      <c r="C44" s="20"/>
    </row>
    <row r="45" spans="1:3" ht="12.75">
      <c r="A45" s="18" t="s">
        <v>39</v>
      </c>
      <c r="B45" s="121">
        <f>Gearing_v*1000/3600/(Gearing_rpm/Ratio6/60*2*PI())</f>
        <v>0.3107816353886616</v>
      </c>
      <c r="C45" s="20" t="s">
        <v>80</v>
      </c>
    </row>
    <row r="46" spans="1:3" ht="12.75">
      <c r="A46" s="18" t="s">
        <v>45</v>
      </c>
      <c r="B46" s="92">
        <f>vmax6*1000/3600</f>
        <v>57.77777777777778</v>
      </c>
      <c r="C46" s="20" t="s">
        <v>0</v>
      </c>
    </row>
    <row r="47" spans="1:3" ht="13.5" thickBot="1">
      <c r="A47" s="21" t="s">
        <v>46</v>
      </c>
      <c r="B47" s="122">
        <v>0</v>
      </c>
      <c r="C47" s="23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9" t="s">
        <v>11</v>
      </c>
      <c r="B49" s="50"/>
      <c r="C49" s="50"/>
      <c r="D49" s="50"/>
      <c r="E49" s="51"/>
      <c r="F49" s="50"/>
      <c r="G49" s="50"/>
      <c r="H49" s="52"/>
    </row>
    <row r="50" spans="1:8" s="4" customFormat="1" ht="12.75">
      <c r="A50" s="53" t="s">
        <v>7</v>
      </c>
      <c r="B50" s="54">
        <v>1</v>
      </c>
      <c r="C50" s="54">
        <v>2</v>
      </c>
      <c r="D50" s="54">
        <v>3</v>
      </c>
      <c r="E50" s="54">
        <v>4</v>
      </c>
      <c r="F50" s="54">
        <v>5</v>
      </c>
      <c r="G50" s="54">
        <v>6</v>
      </c>
      <c r="H50" s="55"/>
    </row>
    <row r="51" spans="1:14" ht="12.75">
      <c r="A51" s="56">
        <f>krpm0</f>
        <v>0</v>
      </c>
      <c r="B51" s="44">
        <v>0</v>
      </c>
      <c r="C51" s="44">
        <v>0</v>
      </c>
      <c r="D51" s="44">
        <v>0</v>
      </c>
      <c r="E51" s="44">
        <v>0</v>
      </c>
      <c r="F51" s="44"/>
      <c r="G51" s="44">
        <v>0</v>
      </c>
      <c r="H51" s="57"/>
      <c r="N51" s="35"/>
    </row>
    <row r="52" spans="1:14" ht="12.75">
      <c r="A52" s="58">
        <f>krpmMax</f>
        <v>9.7</v>
      </c>
      <c r="B52" s="59">
        <f>vmax6*Ratio6/Ratio1</f>
        <v>87.8048780487805</v>
      </c>
      <c r="C52" s="59">
        <f>vmax6*Ratio6/Ratio2</f>
        <v>123.24324324324324</v>
      </c>
      <c r="D52" s="59">
        <f>vmax6*Ratio6/Ratio3</f>
        <v>155.2941176470588</v>
      </c>
      <c r="E52" s="59">
        <f>vmax6*Ratio6/Ratio4</f>
        <v>185.80645161290323</v>
      </c>
      <c r="F52" s="59"/>
      <c r="G52" s="59">
        <f>rpmMax/Gearing_rpm*Gearing_v</f>
        <v>208</v>
      </c>
      <c r="H52" s="60" t="s">
        <v>1</v>
      </c>
      <c r="N52" s="35"/>
    </row>
    <row r="53" ht="12.75"/>
    <row r="54" spans="2:9" ht="12.75">
      <c r="B54" s="49" t="s">
        <v>81</v>
      </c>
      <c r="C54" s="111"/>
      <c r="D54" s="136"/>
      <c r="E54" s="136"/>
      <c r="F54" s="61"/>
      <c r="G54" s="61"/>
      <c r="H54" s="61"/>
      <c r="I54" s="63"/>
    </row>
    <row r="55" spans="1:10" ht="12.75">
      <c r="A55" s="10" t="s">
        <v>7</v>
      </c>
      <c r="B55" s="53" t="s">
        <v>106</v>
      </c>
      <c r="C55" s="55" t="s">
        <v>8</v>
      </c>
      <c r="D55" s="50"/>
      <c r="E55" s="61"/>
      <c r="F55" s="50" t="s">
        <v>101</v>
      </c>
      <c r="G55" s="62"/>
      <c r="H55" s="61"/>
      <c r="I55" s="63"/>
      <c r="J55" s="12"/>
    </row>
    <row r="56" spans="1:10" ht="12.75">
      <c r="A56" s="12"/>
      <c r="B56" s="112" t="s">
        <v>13</v>
      </c>
      <c r="C56" s="113" t="s">
        <v>3</v>
      </c>
      <c r="D56" s="54">
        <v>1</v>
      </c>
      <c r="E56" s="64">
        <v>2</v>
      </c>
      <c r="F56" s="54">
        <v>3</v>
      </c>
      <c r="G56" s="64">
        <v>4</v>
      </c>
      <c r="H56" s="64">
        <v>5</v>
      </c>
      <c r="I56" s="65">
        <v>6</v>
      </c>
      <c r="J56" s="12"/>
    </row>
    <row r="57" spans="1:10" ht="12.75">
      <c r="A57" s="12">
        <v>0</v>
      </c>
      <c r="B57" s="114"/>
      <c r="C57" s="115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7">
        <v>0</v>
      </c>
      <c r="J57" s="27"/>
    </row>
    <row r="58" spans="1:10" ht="12.75">
      <c r="A58" s="12">
        <f>rpm1/1000</f>
        <v>0</v>
      </c>
      <c r="B58" s="114">
        <f>cPower1</f>
        <v>0</v>
      </c>
      <c r="C58" s="115" t="e">
        <f>Power1/(krpm1*1000/60*2*PI())*1000</f>
        <v>#DIV/0!</v>
      </c>
      <c r="D58" s="40">
        <f>krpm1/krpmMax*vmax1</f>
        <v>0</v>
      </c>
      <c r="E58" s="40">
        <f>krpm1/krpmMax*vmax2</f>
        <v>0</v>
      </c>
      <c r="F58" s="40">
        <f>krpm1/krpmMax*vmax3</f>
        <v>0</v>
      </c>
      <c r="G58" s="40">
        <f>krpm1/krpmMax*vmax4</f>
        <v>0</v>
      </c>
      <c r="H58" s="40">
        <f>krpm1/krpmMax*vmax5</f>
        <v>0</v>
      </c>
      <c r="I58" s="47">
        <f>krpm1/krpmMax*vmax6</f>
        <v>0</v>
      </c>
      <c r="J58" s="27"/>
    </row>
    <row r="59" spans="1:10" ht="12.75">
      <c r="A59" s="12">
        <f>rpm2/1000</f>
        <v>0</v>
      </c>
      <c r="B59" s="114">
        <f>cPower2</f>
        <v>0</v>
      </c>
      <c r="C59" s="115" t="e">
        <f>Power2/(krpm2*1000/60*2*PI())*1000</f>
        <v>#DIV/0!</v>
      </c>
      <c r="D59" s="40">
        <f>krpm2/krpmMax*vmax1</f>
        <v>0</v>
      </c>
      <c r="E59" s="40">
        <f>krpm2/krpmMax*vmax2</f>
        <v>0</v>
      </c>
      <c r="F59" s="40">
        <f>krpm2/krpmMax*vmax3</f>
        <v>0</v>
      </c>
      <c r="G59" s="40">
        <f>krpm2/krpmMax*vmax4</f>
        <v>0</v>
      </c>
      <c r="H59" s="40">
        <f>krpm2/krpmMax*vmax5</f>
        <v>0</v>
      </c>
      <c r="I59" s="47">
        <f>krpm2/krpmMax*vmax6</f>
        <v>0</v>
      </c>
      <c r="J59" s="27"/>
    </row>
    <row r="60" spans="1:10" ht="12.75">
      <c r="A60" s="12">
        <f>rpm3/1000</f>
        <v>0</v>
      </c>
      <c r="B60" s="114">
        <f>cPower3</f>
        <v>0</v>
      </c>
      <c r="C60" s="115" t="e">
        <f>Power3/(krpm3*1000/60*2*PI())*1000</f>
        <v>#DIV/0!</v>
      </c>
      <c r="D60" s="40">
        <f>krpm3/krpmMax*vmax1</f>
        <v>0</v>
      </c>
      <c r="E60" s="40">
        <f>krpm3/krpmMax*vmax2</f>
        <v>0</v>
      </c>
      <c r="F60" s="40">
        <f>krpm3/krpmMax*vmax3</f>
        <v>0</v>
      </c>
      <c r="G60" s="40">
        <f>krpm3/krpmMax*vmax4</f>
        <v>0</v>
      </c>
      <c r="H60" s="40">
        <f>krpm3/krpmMax*vmax5</f>
        <v>0</v>
      </c>
      <c r="I60" s="47">
        <f>krpm3/krpmMax*vmax6</f>
        <v>0</v>
      </c>
      <c r="J60" s="27"/>
    </row>
    <row r="61" spans="1:10" ht="12.75">
      <c r="A61" s="12">
        <f>rpm4/1000</f>
        <v>0</v>
      </c>
      <c r="B61" s="114">
        <f>cPower4</f>
        <v>0</v>
      </c>
      <c r="C61" s="115" t="e">
        <f>Power4/(krpm4*1000/60*2*PI())*1000</f>
        <v>#DIV/0!</v>
      </c>
      <c r="D61" s="40">
        <f>krpm4/krpmMax*vmax1</f>
        <v>0</v>
      </c>
      <c r="E61" s="40">
        <f>krpm4/krpmMax*vmax2</f>
        <v>0</v>
      </c>
      <c r="F61" s="40">
        <f>krpm4/krpmMax*vmax3</f>
        <v>0</v>
      </c>
      <c r="G61" s="40">
        <f>krpm4/krpmMax*vmax4</f>
        <v>0</v>
      </c>
      <c r="H61" s="40">
        <f>krpm4/krpmMax*vmax5</f>
        <v>0</v>
      </c>
      <c r="I61" s="47">
        <f>krpm4/krpmMax*vmax6</f>
        <v>0</v>
      </c>
      <c r="J61" s="27"/>
    </row>
    <row r="62" spans="1:10" ht="12.75">
      <c r="A62" s="12">
        <f>rpm5/1000</f>
        <v>3</v>
      </c>
      <c r="B62" s="114">
        <f>cPower5</f>
        <v>20.887999999999998</v>
      </c>
      <c r="C62" s="115">
        <f>Power5/(krpm5*1000/60*2*PI())*1000</f>
        <v>66.48856902607018</v>
      </c>
      <c r="D62" s="40">
        <f>krpm5/krpmMax*vmax1</f>
        <v>27.1561478501383</v>
      </c>
      <c r="E62" s="40">
        <f>krpm5/krpmMax*vmax2</f>
        <v>38.11646698244636</v>
      </c>
      <c r="F62" s="40">
        <f>krpm5/krpmMax*vmax3</f>
        <v>48.02910855063675</v>
      </c>
      <c r="G62" s="40">
        <f>krpm5/krpmMax*vmax4</f>
        <v>57.465912869970076</v>
      </c>
      <c r="H62" s="40">
        <f>krpm5/krpmMax*vmax5</f>
        <v>0</v>
      </c>
      <c r="I62" s="47">
        <f>krpm5/krpmMax*vmax6</f>
        <v>64.3298969072165</v>
      </c>
      <c r="J62" s="27"/>
    </row>
    <row r="63" spans="1:10" ht="12.75">
      <c r="A63" s="12">
        <f>rpm6/1000</f>
        <v>4</v>
      </c>
      <c r="B63" s="114">
        <f>cPower6</f>
        <v>29.84</v>
      </c>
      <c r="C63" s="115">
        <f>Power6/(krpm6*1000/60*2*PI())*1000</f>
        <v>71.23775252793236</v>
      </c>
      <c r="D63" s="40">
        <f>krpm6/krpmMax*vmax1</f>
        <v>36.208197133517736</v>
      </c>
      <c r="E63" s="40">
        <f>krpm6/krpmMax*vmax2</f>
        <v>50.821955976595156</v>
      </c>
      <c r="F63" s="40">
        <f>krpm6/krpmMax*vmax3</f>
        <v>64.038811400849</v>
      </c>
      <c r="G63" s="40">
        <f>krpm6/krpmMax*vmax4</f>
        <v>76.6212171599601</v>
      </c>
      <c r="H63" s="40">
        <f>krpm6/krpmMax*vmax5</f>
        <v>0</v>
      </c>
      <c r="I63" s="47">
        <f>krpm6/krpmMax*vmax6</f>
        <v>85.77319587628867</v>
      </c>
      <c r="J63" s="27"/>
    </row>
    <row r="64" spans="1:10" ht="12.75">
      <c r="A64" s="12">
        <f>rpm7/1000</f>
        <v>5</v>
      </c>
      <c r="B64" s="114">
        <f>cPower7</f>
        <v>41.03</v>
      </c>
      <c r="C64" s="115">
        <f>Power7/(krpm7*1000/60*2*PI())*1000</f>
        <v>78.3615277807256</v>
      </c>
      <c r="D64" s="40">
        <f>krpm7/krpmMax*vmax1</f>
        <v>45.26024641689717</v>
      </c>
      <c r="E64" s="40">
        <f>krpm7/krpmMax*vmax2</f>
        <v>63.52744497074394</v>
      </c>
      <c r="F64" s="40">
        <f>krpm7/krpmMax*vmax3</f>
        <v>80.04851425106125</v>
      </c>
      <c r="G64" s="40">
        <f>krpm7/krpmMax*vmax4</f>
        <v>95.77652144995012</v>
      </c>
      <c r="H64" s="40">
        <f>krpm7/krpmMax*vmax5</f>
        <v>0</v>
      </c>
      <c r="I64" s="47">
        <f>krpm7/krpmMax*vmax6</f>
        <v>107.21649484536084</v>
      </c>
      <c r="J64" s="27"/>
    </row>
    <row r="65" spans="1:10" ht="12.75">
      <c r="A65" s="12">
        <f>rpm8/1000</f>
        <v>6</v>
      </c>
      <c r="B65" s="114">
        <f>cPower8</f>
        <v>49.982</v>
      </c>
      <c r="C65" s="115">
        <f>Power8/(krpm8*1000/60*2*PI())*1000</f>
        <v>79.54882365619112</v>
      </c>
      <c r="D65" s="40">
        <f>krpm8/krpmMax*vmax1</f>
        <v>54.3122957002766</v>
      </c>
      <c r="E65" s="40">
        <f>krpm8/krpmMax*vmax2</f>
        <v>76.23293396489272</v>
      </c>
      <c r="F65" s="40">
        <f>krpm8/krpmMax*vmax3</f>
        <v>96.0582171012735</v>
      </c>
      <c r="G65" s="40">
        <f>krpm8/krpmMax*vmax4</f>
        <v>114.93182573994015</v>
      </c>
      <c r="H65" s="40">
        <f>krpm8/krpmMax*vmax5</f>
        <v>0</v>
      </c>
      <c r="I65" s="47">
        <f>krpm8/krpmMax*vmax6</f>
        <v>128.659793814433</v>
      </c>
      <c r="J65" s="27"/>
    </row>
    <row r="66" spans="1:10" ht="12.75">
      <c r="A66" s="12">
        <f>rpm9/1000</f>
        <v>7</v>
      </c>
      <c r="B66" s="114">
        <f>cPower9</f>
        <v>59.307</v>
      </c>
      <c r="C66" s="115">
        <f>Power9/(krpm9*1000/60*2*PI())*1000</f>
        <v>80.90573322815175</v>
      </c>
      <c r="D66" s="40">
        <f>krpm9/krpmMax*vmax1</f>
        <v>63.36434498365604</v>
      </c>
      <c r="E66" s="40">
        <f>krpm9/krpmMax*vmax2</f>
        <v>88.93842295904153</v>
      </c>
      <c r="F66" s="40">
        <f>krpm9/krpmMax*vmax3</f>
        <v>112.06791995148576</v>
      </c>
      <c r="G66" s="40">
        <f>krpm9/krpmMax*vmax4</f>
        <v>134.0871300299302</v>
      </c>
      <c r="H66" s="40">
        <f>krpm9/krpmMax*vmax5</f>
        <v>0</v>
      </c>
      <c r="I66" s="47">
        <f>krpm9/krpmMax*vmax6</f>
        <v>150.1030927835052</v>
      </c>
      <c r="J66" s="27"/>
    </row>
    <row r="67" spans="1:10" ht="12.75">
      <c r="A67" s="12">
        <f>rpm10/1000</f>
        <v>8</v>
      </c>
      <c r="B67" s="114">
        <f>cPower10</f>
        <v>69.005</v>
      </c>
      <c r="C67" s="115">
        <f>Power10/(krpm10*1000/60*2*PI())*1000</f>
        <v>82.36865136042178</v>
      </c>
      <c r="D67" s="40">
        <f>krpm10/krpmMax*vmax1</f>
        <v>72.41639426703547</v>
      </c>
      <c r="E67" s="40">
        <f>krpm10/krpmMax*vmax2</f>
        <v>101.64391195319031</v>
      </c>
      <c r="F67" s="40">
        <f>krpm10/krpmMax*vmax3</f>
        <v>128.077622801698</v>
      </c>
      <c r="G67" s="40">
        <f>krpm10/krpmMax*vmax4</f>
        <v>153.2424343199202</v>
      </c>
      <c r="H67" s="40">
        <f>krpm10/krpmMax*vmax5</f>
        <v>0</v>
      </c>
      <c r="I67" s="47">
        <f>krpm10/krpmMax*vmax6</f>
        <v>171.54639175257734</v>
      </c>
      <c r="J67" s="27"/>
    </row>
    <row r="68" spans="1:10" ht="12.75">
      <c r="A68" s="12">
        <f>rpm11/1000</f>
        <v>9</v>
      </c>
      <c r="B68" s="114">
        <f>cPower11</f>
        <v>74.6</v>
      </c>
      <c r="C68" s="115">
        <f>Power11/(krpm11*1000/60*2*PI())*1000</f>
        <v>79.15305836436929</v>
      </c>
      <c r="D68" s="40">
        <f>krpm11/krpmMax*vmax1</f>
        <v>81.46844355041489</v>
      </c>
      <c r="E68" s="40">
        <f>krpm11/krpmMax*vmax2</f>
        <v>114.34940094733909</v>
      </c>
      <c r="F68" s="40">
        <f>krpm11/krpmMax*vmax3</f>
        <v>144.08732565191025</v>
      </c>
      <c r="G68" s="40">
        <f>krpm11/krpmMax*vmax4</f>
        <v>172.39773860991022</v>
      </c>
      <c r="H68" s="40">
        <f>krpm11/krpmMax*vmax5</f>
        <v>0</v>
      </c>
      <c r="I68" s="47">
        <f>krpm11/krpmMax*vmax6</f>
        <v>192.98969072164948</v>
      </c>
      <c r="J68" s="27"/>
    </row>
    <row r="69" spans="1:10" ht="12.75">
      <c r="A69" s="12">
        <f>rpmMax/1000</f>
        <v>9.7</v>
      </c>
      <c r="B69" s="116">
        <f>cPowerRpmMax</f>
        <v>75.719</v>
      </c>
      <c r="C69" s="117">
        <f>PowerRpmMax/(krpmMax*1000/60*2*PI())*1000</f>
        <v>74.54259671737252</v>
      </c>
      <c r="D69" s="46">
        <f>vmax1</f>
        <v>87.8048780487805</v>
      </c>
      <c r="E69" s="46">
        <f>vmax2</f>
        <v>123.24324324324324</v>
      </c>
      <c r="F69" s="46">
        <f>vmax3</f>
        <v>155.2941176470588</v>
      </c>
      <c r="G69" s="46">
        <f>vmax4</f>
        <v>185.80645161290323</v>
      </c>
      <c r="H69" s="46">
        <f>vmax5</f>
        <v>0</v>
      </c>
      <c r="I69" s="48">
        <f>vmax6</f>
        <v>208</v>
      </c>
      <c r="J69" s="27"/>
    </row>
    <row r="70" spans="1:7" ht="12.75">
      <c r="A70" s="12"/>
      <c r="B70" s="27"/>
      <c r="C70" s="28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9" t="s">
        <v>87</v>
      </c>
      <c r="B72" s="50"/>
      <c r="C72" s="50"/>
      <c r="D72" s="50"/>
      <c r="E72" s="50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s="4" customFormat="1" ht="12.75">
      <c r="A73" s="107" t="s">
        <v>40</v>
      </c>
      <c r="B73" s="54">
        <v>1</v>
      </c>
      <c r="C73" s="54"/>
      <c r="D73" s="54">
        <v>2</v>
      </c>
      <c r="E73" s="54"/>
      <c r="F73" s="64">
        <v>3</v>
      </c>
      <c r="G73" s="64"/>
      <c r="H73" s="64">
        <v>4</v>
      </c>
      <c r="I73" s="64"/>
      <c r="J73" s="64">
        <v>5</v>
      </c>
      <c r="K73" s="64"/>
      <c r="L73" s="64">
        <v>6</v>
      </c>
      <c r="M73" s="64"/>
      <c r="N73" s="64"/>
      <c r="O73" s="65"/>
    </row>
    <row r="74" spans="1:15" s="4" customFormat="1" ht="12.75">
      <c r="A74" s="107" t="s">
        <v>7</v>
      </c>
      <c r="B74" s="54" t="s">
        <v>1</v>
      </c>
      <c r="C74" s="54" t="s">
        <v>14</v>
      </c>
      <c r="D74" s="54" t="s">
        <v>1</v>
      </c>
      <c r="E74" s="54" t="s">
        <v>14</v>
      </c>
      <c r="F74" s="54" t="s">
        <v>1</v>
      </c>
      <c r="G74" s="54" t="s">
        <v>14</v>
      </c>
      <c r="H74" s="54" t="s">
        <v>1</v>
      </c>
      <c r="I74" s="54" t="s">
        <v>14</v>
      </c>
      <c r="J74" s="54" t="s">
        <v>1</v>
      </c>
      <c r="K74" s="54" t="s">
        <v>14</v>
      </c>
      <c r="L74" s="54" t="s">
        <v>1</v>
      </c>
      <c r="M74" s="54" t="s">
        <v>14</v>
      </c>
      <c r="N74" s="64"/>
      <c r="O74" s="65"/>
    </row>
    <row r="75" spans="1:15" s="4" customFormat="1" ht="12.75">
      <c r="A75" s="107">
        <f>krpm0</f>
        <v>0</v>
      </c>
      <c r="B75" s="85">
        <f>krpm0/krpmMax*vmax1</f>
        <v>0</v>
      </c>
      <c r="C75" s="85"/>
      <c r="D75" s="85">
        <f>krpm0/krpmMax*vmax2</f>
        <v>0</v>
      </c>
      <c r="E75" s="85"/>
      <c r="F75" s="85">
        <f>krpm0/krpmMax*vmax3</f>
        <v>0</v>
      </c>
      <c r="G75" s="85"/>
      <c r="H75" s="85">
        <f>krpm0/krpmMax*vmax4</f>
        <v>0</v>
      </c>
      <c r="I75" s="85"/>
      <c r="J75" s="85"/>
      <c r="K75" s="85"/>
      <c r="L75" s="85">
        <f>krpm0/krpmMax*vmax6</f>
        <v>0</v>
      </c>
      <c r="M75" s="85"/>
      <c r="N75" s="64"/>
      <c r="O75" s="65"/>
    </row>
    <row r="76" spans="1:15" ht="12.75">
      <c r="A76" s="53">
        <f>krpm1</f>
        <v>0</v>
      </c>
      <c r="B76" s="85">
        <f>krpm1/krpmMax*vmax1</f>
        <v>0</v>
      </c>
      <c r="C76" s="85"/>
      <c r="D76" s="85">
        <f>krpm1/krpmMax*vmax2</f>
        <v>0</v>
      </c>
      <c r="E76" s="85"/>
      <c r="F76" s="85">
        <f>krpm1/krpmMax*vmax3</f>
        <v>0</v>
      </c>
      <c r="G76" s="85"/>
      <c r="H76" s="85">
        <f>krpm1/krpmMax*vmax4</f>
        <v>0</v>
      </c>
      <c r="I76" s="85"/>
      <c r="J76" s="85"/>
      <c r="K76" s="85"/>
      <c r="L76" s="85">
        <f>krpm1/krpmMax*vmax6</f>
        <v>0</v>
      </c>
      <c r="M76" s="85"/>
      <c r="N76" s="26"/>
      <c r="O76" s="75"/>
    </row>
    <row r="77" spans="1:15" ht="12.75">
      <c r="A77" s="53">
        <f>krpm2</f>
        <v>0</v>
      </c>
      <c r="B77" s="85">
        <f>krpm2/krpmMax*vmax1</f>
        <v>0</v>
      </c>
      <c r="C77" s="85"/>
      <c r="D77" s="85">
        <f>krpm2/krpmMax*vmax2</f>
        <v>0</v>
      </c>
      <c r="E77" s="85"/>
      <c r="F77" s="85">
        <f>krpm2/krpmMax*vmax3</f>
        <v>0</v>
      </c>
      <c r="G77" s="85"/>
      <c r="H77" s="85">
        <f>krpm2/krpmMax*vmax4</f>
        <v>0</v>
      </c>
      <c r="I77" s="85"/>
      <c r="J77" s="85"/>
      <c r="K77" s="85"/>
      <c r="L77" s="85">
        <f>krpm2/krpmMax*vmax6</f>
        <v>0</v>
      </c>
      <c r="M77" s="85"/>
      <c r="N77" s="26"/>
      <c r="O77" s="75"/>
    </row>
    <row r="78" spans="1:15" ht="12.75">
      <c r="A78" s="53">
        <f>krpm3</f>
        <v>0</v>
      </c>
      <c r="B78" s="85">
        <f>krpm3/krpmMax*vmax1</f>
        <v>0</v>
      </c>
      <c r="C78" s="81"/>
      <c r="D78" s="81">
        <f>krpm3/krpmMax*vmax2</f>
        <v>0</v>
      </c>
      <c r="E78" s="81"/>
      <c r="F78" s="81">
        <f>krpm3/krpmMax*vmax3</f>
        <v>0</v>
      </c>
      <c r="G78" s="81"/>
      <c r="H78" s="81">
        <f>krpm3/krpmMax*vmax4</f>
        <v>0</v>
      </c>
      <c r="I78" s="81"/>
      <c r="J78" s="81"/>
      <c r="K78" s="81"/>
      <c r="L78" s="81">
        <f>krpm3/krpmMax*vmax6</f>
        <v>0</v>
      </c>
      <c r="M78" s="81"/>
      <c r="N78" s="26"/>
      <c r="O78" s="75"/>
    </row>
    <row r="79" spans="1:15" ht="12.75">
      <c r="A79" s="53">
        <f>krpm4</f>
        <v>0</v>
      </c>
      <c r="B79" s="85">
        <f>krpm4/krpmMax*vmax1</f>
        <v>0</v>
      </c>
      <c r="C79" s="81"/>
      <c r="D79" s="81">
        <f>krpm4/krpmMax*vmax2</f>
        <v>0</v>
      </c>
      <c r="E79" s="81"/>
      <c r="F79" s="81">
        <f>krpm4/krpmMax*vmax3</f>
        <v>0</v>
      </c>
      <c r="G79" s="81"/>
      <c r="H79" s="81">
        <f>krpm4/krpmMax*vmax4</f>
        <v>0</v>
      </c>
      <c r="I79" s="81"/>
      <c r="J79" s="81"/>
      <c r="K79" s="81"/>
      <c r="L79" s="81">
        <f>krpm4/krpmMax*vmax6</f>
        <v>0</v>
      </c>
      <c r="M79" s="81"/>
      <c r="N79" s="26"/>
      <c r="O79" s="75"/>
    </row>
    <row r="80" spans="1:15" ht="12.75">
      <c r="A80" s="53">
        <f>krpm5</f>
        <v>3</v>
      </c>
      <c r="B80" s="85">
        <f>krpm5/krpmMax*vmax1</f>
        <v>27.1561478501383</v>
      </c>
      <c r="C80" s="81">
        <f>Torque5*Ratio1*efficiency/r_wheel</f>
        <v>2315.0914986703665</v>
      </c>
      <c r="D80" s="81">
        <f>krpm5/krpmMax*vmax2</f>
        <v>38.11646698244636</v>
      </c>
      <c r="E80" s="81">
        <f>Torque5*Ratio2*efficiency/r_wheel</f>
        <v>1649.3912474480785</v>
      </c>
      <c r="F80" s="81">
        <f>krpm5/krpmMax*vmax3</f>
        <v>48.02910855063675</v>
      </c>
      <c r="G80" s="81">
        <f>Torque5*Ratio3*efficiency/r_wheel</f>
        <v>1308.9763462548635</v>
      </c>
      <c r="H80" s="81">
        <f>krpm5/krpmMax*vmax4</f>
        <v>57.465912869970076</v>
      </c>
      <c r="I80" s="81">
        <f>Torque5*Ratio4*efficiency/r_wheel</f>
        <v>1094.0218972375208</v>
      </c>
      <c r="J80" s="81"/>
      <c r="K80" s="81"/>
      <c r="L80" s="81">
        <f>krpm5/krpmMax*vmax6</f>
        <v>64.3298969072165</v>
      </c>
      <c r="M80" s="81">
        <f>Torque5*Ratio6*efficiency/r_wheel</f>
        <v>977.2900322717306</v>
      </c>
      <c r="N80" s="26"/>
      <c r="O80" s="75"/>
    </row>
    <row r="81" spans="1:15" ht="12.75">
      <c r="A81" s="53">
        <f>krpm6</f>
        <v>4</v>
      </c>
      <c r="B81" s="85">
        <f>krpm6/krpmMax*vmax1</f>
        <v>36.208197133517736</v>
      </c>
      <c r="C81" s="81">
        <f>Torque6*Ratio1*efficiency/r_wheel</f>
        <v>2480.455177146822</v>
      </c>
      <c r="D81" s="81">
        <f>krpm6/krpmMax*vmax2</f>
        <v>50.821955976595156</v>
      </c>
      <c r="E81" s="81">
        <f>Torque6*Ratio2*efficiency/r_wheel</f>
        <v>1767.204907980085</v>
      </c>
      <c r="F81" s="81">
        <f>krpm6/krpmMax*vmax3</f>
        <v>64.038811400849</v>
      </c>
      <c r="G81" s="81">
        <f>Torque6*Ratio3*efficiency/r_wheel</f>
        <v>1402.4746567016398</v>
      </c>
      <c r="H81" s="81">
        <f>krpm6/krpmMax*vmax4</f>
        <v>76.6212171599601</v>
      </c>
      <c r="I81" s="81">
        <f>Torque6*Ratio4*efficiency/r_wheel</f>
        <v>1172.1663184687725</v>
      </c>
      <c r="J81" s="81"/>
      <c r="K81" s="81"/>
      <c r="L81" s="81">
        <f>krpm6/krpmMax*vmax6</f>
        <v>85.77319587628867</v>
      </c>
      <c r="M81" s="81">
        <f>Torque6*Ratio6*efficiency/r_wheel</f>
        <v>1047.096463148283</v>
      </c>
      <c r="N81" s="26"/>
      <c r="O81" s="75"/>
    </row>
    <row r="82" spans="1:15" ht="12.75">
      <c r="A82" s="53">
        <f>krpm7</f>
        <v>5</v>
      </c>
      <c r="B82" s="85">
        <f>krpm7/krpmMax*vmax1</f>
        <v>45.26024641689717</v>
      </c>
      <c r="C82" s="81">
        <f>Torque7*Ratio1*efficiency/r_wheel</f>
        <v>2728.500694861504</v>
      </c>
      <c r="D82" s="81">
        <f>krpm7/krpmMax*vmax2</f>
        <v>63.52744497074394</v>
      </c>
      <c r="E82" s="81">
        <f>Torque7*Ratio2*efficiency/r_wheel</f>
        <v>1943.9253987780935</v>
      </c>
      <c r="F82" s="81">
        <f>krpm7/krpmMax*vmax3</f>
        <v>80.04851425106125</v>
      </c>
      <c r="G82" s="81">
        <f>Torque7*Ratio3*efficiency/r_wheel</f>
        <v>1542.722122371804</v>
      </c>
      <c r="H82" s="81">
        <f>krpm7/krpmMax*vmax4</f>
        <v>95.77652144995012</v>
      </c>
      <c r="I82" s="81">
        <f>Torque7*Ratio4*efficiency/r_wheel</f>
        <v>1289.3829503156499</v>
      </c>
      <c r="J82" s="81"/>
      <c r="K82" s="81"/>
      <c r="L82" s="81">
        <f>krpm7/krpmMax*vmax6</f>
        <v>107.21649484536084</v>
      </c>
      <c r="M82" s="81">
        <f>Torque7*Ratio6*efficiency/r_wheel</f>
        <v>1151.8061094631114</v>
      </c>
      <c r="N82" s="26"/>
      <c r="O82" s="75"/>
    </row>
    <row r="83" spans="1:15" ht="12.75">
      <c r="A83" s="53">
        <f>krpm8</f>
        <v>6</v>
      </c>
      <c r="B83" s="85">
        <f>krpm8/krpmMax*vmax1</f>
        <v>54.3122957002766</v>
      </c>
      <c r="C83" s="81">
        <f>Torque8*Ratio1*efficiency/r_wheel</f>
        <v>2769.841614480617</v>
      </c>
      <c r="D83" s="81">
        <f>krpm8/krpmMax*vmax2</f>
        <v>76.23293396489272</v>
      </c>
      <c r="E83" s="81">
        <f>Torque8*Ratio2*efficiency/r_wheel</f>
        <v>1973.3788139110945</v>
      </c>
      <c r="F83" s="81">
        <f>krpm8/krpmMax*vmax3</f>
        <v>96.0582171012735</v>
      </c>
      <c r="G83" s="81">
        <f>Torque8*Ratio3*efficiency/r_wheel</f>
        <v>1566.0966999834975</v>
      </c>
      <c r="H83" s="81">
        <f>krpm8/krpmMax*vmax4</f>
        <v>114.93182573994015</v>
      </c>
      <c r="I83" s="81">
        <f>Torque8*Ratio4*efficiency/r_wheel</f>
        <v>1308.9190556234623</v>
      </c>
      <c r="J83" s="81"/>
      <c r="K83" s="81"/>
      <c r="L83" s="81">
        <f>krpm8/krpmMax*vmax6</f>
        <v>128.659793814433</v>
      </c>
      <c r="M83" s="81">
        <f>Torque8*Ratio6*efficiency/r_wheel</f>
        <v>1169.2577171822493</v>
      </c>
      <c r="N83" s="26"/>
      <c r="O83" s="75"/>
    </row>
    <row r="84" spans="1:15" ht="12.75">
      <c r="A84" s="53">
        <f>krpm9</f>
        <v>7</v>
      </c>
      <c r="B84" s="81">
        <f>krpm9/krpmMax*vmax1</f>
        <v>63.36434498365604</v>
      </c>
      <c r="C84" s="81">
        <f>Torque9*Ratio1*efficiency/r_wheel</f>
        <v>2817.0883797596043</v>
      </c>
      <c r="D84" s="102">
        <f>krpm9/krpmMax*vmax2</f>
        <v>88.93842295904153</v>
      </c>
      <c r="E84" s="102">
        <f>Torque9*Ratio2*efficiency/r_wheel</f>
        <v>2007.039859777382</v>
      </c>
      <c r="F84" s="102">
        <f>krpm9/krpmMax*vmax3</f>
        <v>112.06791995148576</v>
      </c>
      <c r="G84" s="102">
        <f>Torque9*Ratio3*efficiency/r_wheel</f>
        <v>1592.810502968291</v>
      </c>
      <c r="H84" s="102">
        <f>krpm9/krpmMax*vmax4</f>
        <v>134.0871300299302</v>
      </c>
      <c r="I84" s="102">
        <f>Torque9*Ratio4*efficiency/r_wheel</f>
        <v>1331.2460331181057</v>
      </c>
      <c r="J84" s="81"/>
      <c r="K84" s="81"/>
      <c r="L84" s="81">
        <f>krpm9/krpmMax*vmax6</f>
        <v>150.1030927835052</v>
      </c>
      <c r="M84" s="81">
        <f>Torque9*Ratio6*efficiency/r_wheel</f>
        <v>1189.2024117184071</v>
      </c>
      <c r="N84" s="26" t="s">
        <v>97</v>
      </c>
      <c r="O84" s="75"/>
    </row>
    <row r="85" spans="1:15" ht="12.75">
      <c r="A85" s="53">
        <f>krpm10</f>
        <v>8</v>
      </c>
      <c r="B85" s="81">
        <f>krpm10/krpmMax*vmax1</f>
        <v>72.41639426703547</v>
      </c>
      <c r="C85" s="81">
        <f>Torque10*Ratio1*efficiency/r_wheel</f>
        <v>2868.026298576013</v>
      </c>
      <c r="D85" s="81">
        <f>krpm10/krpmMax*vmax2</f>
        <v>101.64391195319031</v>
      </c>
      <c r="E85" s="81">
        <f>Torque10*Ratio2*efficiency/r_wheel</f>
        <v>2043.330674851973</v>
      </c>
      <c r="F85" s="81">
        <f>krpm10/krpmMax*vmax3</f>
        <v>128.077622801698</v>
      </c>
      <c r="G85" s="81">
        <f>Torque10*Ratio3*efficiency/r_wheel</f>
        <v>1621.611321811271</v>
      </c>
      <c r="H85" s="81">
        <f>krpm10/krpmMax*vmax4</f>
        <v>153.2424343199202</v>
      </c>
      <c r="I85" s="81">
        <f>Torque10*Ratio4*efficiency/r_wheel</f>
        <v>1355.317305729518</v>
      </c>
      <c r="J85" s="81"/>
      <c r="K85" s="81"/>
      <c r="L85" s="102">
        <f>krpm10/krpmMax*vmax6</f>
        <v>171.54639175257734</v>
      </c>
      <c r="M85" s="102">
        <f>Torque10*Ratio6*efficiency/r_wheel</f>
        <v>1210.7052855152024</v>
      </c>
      <c r="N85" s="26"/>
      <c r="O85" s="75"/>
    </row>
    <row r="86" spans="1:15" ht="12.75">
      <c r="A86" s="53">
        <f>krpm11</f>
        <v>9</v>
      </c>
      <c r="B86" s="81">
        <f>krpm11/krpmMax*vmax1</f>
        <v>81.46844355041489</v>
      </c>
      <c r="C86" s="81">
        <f>Torque11*Ratio1*efficiency/r_wheel</f>
        <v>2756.0613079409127</v>
      </c>
      <c r="D86" s="98">
        <f>krpm11/krpmMax*vmax2</f>
        <v>114.34940094733909</v>
      </c>
      <c r="E86" s="98">
        <f>Torque11*Ratio2*efficiency/r_wheel</f>
        <v>1963.5610088667609</v>
      </c>
      <c r="F86" s="98">
        <f>krpm11/krpmMax*vmax3</f>
        <v>144.08732565191025</v>
      </c>
      <c r="G86" s="98">
        <f>Torque11*Ratio3*efficiency/r_wheel</f>
        <v>1558.3051741129332</v>
      </c>
      <c r="H86" s="98">
        <f>krpm11/krpmMax*vmax4</f>
        <v>172.39773860991022</v>
      </c>
      <c r="I86" s="153">
        <f>Torque11*Ratio4*efficiency/r_wheel</f>
        <v>1302.4070205208584</v>
      </c>
      <c r="J86" s="81"/>
      <c r="K86" s="81"/>
      <c r="L86" s="81">
        <f>krpm11/krpmMax*vmax6</f>
        <v>192.98969072164948</v>
      </c>
      <c r="M86" s="81">
        <f>Torque11*Ratio6*efficiency/r_wheel</f>
        <v>1163.4405146092035</v>
      </c>
      <c r="N86" s="26"/>
      <c r="O86" s="75"/>
    </row>
    <row r="87" spans="1:15" ht="12.75">
      <c r="A87" s="108">
        <f>krpmMax</f>
        <v>9.7</v>
      </c>
      <c r="B87" s="109">
        <f>vmax1</f>
        <v>87.8048780487805</v>
      </c>
      <c r="C87" s="109">
        <f>TorqueRpmMax*Ratio1*efficiency/r_wheel</f>
        <v>2595.5278400041484</v>
      </c>
      <c r="D87" s="82">
        <f>vmax2</f>
        <v>123.24324324324324</v>
      </c>
      <c r="E87" s="82">
        <f>TorqueRpmMax*Ratio2*efficiency/r_wheel</f>
        <v>1849.188640824522</v>
      </c>
      <c r="F87" s="82">
        <f>vmax3</f>
        <v>155.2941176470588</v>
      </c>
      <c r="G87" s="82">
        <f>TorqueRpmMax*Ratio3*efficiency/r_wheel</f>
        <v>1467.5379139713036</v>
      </c>
      <c r="H87" s="82">
        <f>vmax4</f>
        <v>185.80645161290323</v>
      </c>
      <c r="I87" s="82">
        <f>TorqueRpmMax*Ratio4*efficiency/r_wheel</f>
        <v>1226.5451682946434</v>
      </c>
      <c r="J87" s="82"/>
      <c r="K87" s="82"/>
      <c r="L87" s="82">
        <f>vmax6</f>
        <v>208</v>
      </c>
      <c r="M87" s="82">
        <f>TorqueRpmMax*Ratio6*efficiency/r_wheel</f>
        <v>1095.6731031912448</v>
      </c>
      <c r="N87" s="110" t="s">
        <v>98</v>
      </c>
      <c r="O87" s="77"/>
    </row>
    <row r="88" spans="1:13" ht="12.75">
      <c r="A88" s="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7"/>
      <c r="M88" s="7"/>
    </row>
    <row r="89" spans="2:11" s="4" customFormat="1" ht="12.75">
      <c r="B89" s="66" t="s">
        <v>44</v>
      </c>
      <c r="C89" s="62"/>
      <c r="D89" s="67"/>
      <c r="F89" s="66" t="s">
        <v>96</v>
      </c>
      <c r="G89" s="67"/>
      <c r="I89" s="66" t="s">
        <v>102</v>
      </c>
      <c r="J89" s="62"/>
      <c r="K89" s="67"/>
    </row>
    <row r="90" spans="1:11" s="4" customFormat="1" ht="12.75">
      <c r="A90" s="9" t="s">
        <v>1</v>
      </c>
      <c r="B90" s="68" t="s">
        <v>41</v>
      </c>
      <c r="C90" s="64" t="s">
        <v>42</v>
      </c>
      <c r="D90" s="65" t="s">
        <v>43</v>
      </c>
      <c r="F90" s="68"/>
      <c r="G90" s="65"/>
      <c r="I90" s="68" t="s">
        <v>104</v>
      </c>
      <c r="J90" s="64" t="s">
        <v>103</v>
      </c>
      <c r="K90" s="65" t="s">
        <v>105</v>
      </c>
    </row>
    <row r="91" spans="1:11" ht="12.75">
      <c r="A91" s="30">
        <v>0</v>
      </c>
      <c r="B91" s="78">
        <f aca="true" t="shared" si="1" ref="B91:B103">M_tot*9.81*SIN(RADIANS(incline))</f>
        <v>0</v>
      </c>
      <c r="C91" s="79">
        <f>Cd*A*POWER(krpm0/krpmMax*vmax6mps3,2)</f>
        <v>0</v>
      </c>
      <c r="D91" s="80">
        <f aca="true" t="shared" si="2" ref="D91:D103">SUM(B91:C91)</f>
        <v>0</v>
      </c>
      <c r="F91" s="73"/>
      <c r="G91" s="74"/>
      <c r="H91" s="7"/>
      <c r="I91" s="69">
        <f>B57</f>
        <v>0</v>
      </c>
      <c r="J91" s="70">
        <f>C57</f>
        <v>0</v>
      </c>
      <c r="K91" s="47">
        <f>J100</f>
        <v>59.307</v>
      </c>
    </row>
    <row r="92" spans="1:11" ht="12.75">
      <c r="A92" s="30">
        <f>krpm1/krpmMax*vmax6</f>
        <v>0</v>
      </c>
      <c r="B92" s="78">
        <f t="shared" si="1"/>
        <v>0</v>
      </c>
      <c r="C92" s="81">
        <f>Cd*A*POWER(krpm1/krpmMax*vmax6mps3,2)</f>
        <v>0</v>
      </c>
      <c r="D92" s="80">
        <f t="shared" si="2"/>
        <v>0</v>
      </c>
      <c r="F92" s="73"/>
      <c r="G92" s="75"/>
      <c r="I92" s="69" t="e">
        <f>Torque1</f>
        <v>#DIV/0!</v>
      </c>
      <c r="J92" s="70">
        <f>Power1</f>
        <v>0</v>
      </c>
      <c r="K92" s="47">
        <f aca="true" t="shared" si="3" ref="K92:K103">K91</f>
        <v>59.307</v>
      </c>
    </row>
    <row r="93" spans="1:12" ht="12.75">
      <c r="A93" s="30">
        <f>krpm2/krpmMax*vmax6</f>
        <v>0</v>
      </c>
      <c r="B93" s="78">
        <f t="shared" si="1"/>
        <v>0</v>
      </c>
      <c r="C93" s="81">
        <f>Cd*A*POWER(krpm2/krpmMax*vmax6mps3,2)</f>
        <v>0</v>
      </c>
      <c r="D93" s="80">
        <f t="shared" si="2"/>
        <v>0</v>
      </c>
      <c r="F93" s="73"/>
      <c r="G93" s="75"/>
      <c r="I93" s="69" t="e">
        <f>Torque2</f>
        <v>#DIV/0!</v>
      </c>
      <c r="J93" s="70">
        <f>Power2</f>
        <v>0</v>
      </c>
      <c r="K93" s="47">
        <f t="shared" si="3"/>
        <v>59.307</v>
      </c>
      <c r="L93" s="3"/>
    </row>
    <row r="94" spans="1:11" ht="12.75">
      <c r="A94" s="30">
        <f>2*A95/3</f>
        <v>0</v>
      </c>
      <c r="B94" s="78">
        <f t="shared" si="1"/>
        <v>0</v>
      </c>
      <c r="C94" s="81">
        <f>Cd*A*POWER(2/3*krpm4/krpmMax*vmax6mps3,2)</f>
        <v>0</v>
      </c>
      <c r="D94" s="80">
        <f t="shared" si="2"/>
        <v>0</v>
      </c>
      <c r="F94" s="73"/>
      <c r="G94" s="75"/>
      <c r="I94" s="69" t="e">
        <f>Torque3</f>
        <v>#DIV/0!</v>
      </c>
      <c r="J94" s="70">
        <f>Power3</f>
        <v>0</v>
      </c>
      <c r="K94" s="47">
        <f t="shared" si="3"/>
        <v>59.307</v>
      </c>
    </row>
    <row r="95" spans="1:11" ht="12.75">
      <c r="A95" s="30">
        <f>krpm4/krpmMax*vmax6</f>
        <v>0</v>
      </c>
      <c r="B95" s="78">
        <f t="shared" si="1"/>
        <v>0</v>
      </c>
      <c r="C95" s="81">
        <f>Cd*A*POWER(krpm4/krpmMax*vmax6mps3,2)</f>
        <v>0</v>
      </c>
      <c r="D95" s="80">
        <f t="shared" si="2"/>
        <v>0</v>
      </c>
      <c r="F95" s="73"/>
      <c r="G95" s="75"/>
      <c r="I95" s="69" t="e">
        <f>Torque4</f>
        <v>#DIV/0!</v>
      </c>
      <c r="J95" s="70">
        <f>Power4</f>
        <v>0</v>
      </c>
      <c r="K95" s="47">
        <f t="shared" si="3"/>
        <v>59.307</v>
      </c>
    </row>
    <row r="96" spans="1:11" ht="12.75">
      <c r="A96" s="30">
        <f>krpm5/krpmMax*vmax6</f>
        <v>64.3298969072165</v>
      </c>
      <c r="B96" s="78">
        <f t="shared" si="1"/>
        <v>0</v>
      </c>
      <c r="C96" s="81">
        <f>Cd*A*POWER(krpm5/krpmMax*vmax6mps3,2)</f>
        <v>76.63584511283523</v>
      </c>
      <c r="D96" s="80">
        <f t="shared" si="2"/>
        <v>76.63584511283523</v>
      </c>
      <c r="F96" s="73">
        <f aca="true" t="shared" si="4" ref="F96:F103">MAX($D$116:$D$137)*1000/(A96*1000/3600)</f>
        <v>3542.6763669850247</v>
      </c>
      <c r="G96" s="75"/>
      <c r="I96" s="69">
        <f>Torque5</f>
        <v>66.48856902607018</v>
      </c>
      <c r="J96" s="70">
        <f>Power5</f>
        <v>20.887999999999998</v>
      </c>
      <c r="K96" s="47">
        <f t="shared" si="3"/>
        <v>59.307</v>
      </c>
    </row>
    <row r="97" spans="1:11" ht="12.75">
      <c r="A97" s="30">
        <f>krpm6/krpmMax*vmax6</f>
        <v>85.77319587628867</v>
      </c>
      <c r="B97" s="78">
        <f t="shared" si="1"/>
        <v>0</v>
      </c>
      <c r="C97" s="81">
        <f>Cd*A*POWER(krpm6/krpmMax*vmax6mps3,2)</f>
        <v>136.2415024228182</v>
      </c>
      <c r="D97" s="80">
        <f t="shared" si="2"/>
        <v>136.2415024228182</v>
      </c>
      <c r="F97" s="73">
        <f t="shared" si="4"/>
        <v>2657.0072752387687</v>
      </c>
      <c r="G97" s="75"/>
      <c r="I97" s="69">
        <f>Torque6</f>
        <v>71.23775252793236</v>
      </c>
      <c r="J97" s="70">
        <f>Power6</f>
        <v>29.84</v>
      </c>
      <c r="K97" s="47">
        <f t="shared" si="3"/>
        <v>59.307</v>
      </c>
    </row>
    <row r="98" spans="1:11" ht="12.75">
      <c r="A98" s="30">
        <f>krpm7/krpmMax*vmax6</f>
        <v>107.21649484536084</v>
      </c>
      <c r="B98" s="78">
        <f t="shared" si="1"/>
        <v>0</v>
      </c>
      <c r="C98" s="81">
        <f>Cd*A*POWER(krpm7/krpmMax*vmax6mps3,2)</f>
        <v>212.87734753565346</v>
      </c>
      <c r="D98" s="80">
        <f t="shared" si="2"/>
        <v>212.87734753565346</v>
      </c>
      <c r="F98" s="73">
        <f t="shared" si="4"/>
        <v>2125.6058201910146</v>
      </c>
      <c r="G98" s="75"/>
      <c r="I98" s="69">
        <f>Torque7</f>
        <v>78.3615277807256</v>
      </c>
      <c r="J98" s="70">
        <f>Power7</f>
        <v>41.03</v>
      </c>
      <c r="K98" s="47">
        <f t="shared" si="3"/>
        <v>59.307</v>
      </c>
    </row>
    <row r="99" spans="1:11" ht="12.75">
      <c r="A99" s="30">
        <f>krpm8/krpmMax*vmax6</f>
        <v>128.659793814433</v>
      </c>
      <c r="B99" s="78">
        <f t="shared" si="1"/>
        <v>0</v>
      </c>
      <c r="C99" s="81">
        <f>Cd*A*POWER(krpm8/krpmMax*vmax6mps3,2)</f>
        <v>306.5433804513409</v>
      </c>
      <c r="D99" s="80">
        <f t="shared" si="2"/>
        <v>306.5433804513409</v>
      </c>
      <c r="F99" s="73">
        <f t="shared" si="4"/>
        <v>1771.3381834925124</v>
      </c>
      <c r="G99" s="75"/>
      <c r="I99" s="69">
        <f>Torque8</f>
        <v>79.54882365619112</v>
      </c>
      <c r="J99" s="70">
        <f>Power8</f>
        <v>49.982</v>
      </c>
      <c r="K99" s="47">
        <f t="shared" si="3"/>
        <v>59.307</v>
      </c>
    </row>
    <row r="100" spans="1:11" ht="12.75">
      <c r="A100" s="30">
        <f>krpm9/krpmMax*vmax6</f>
        <v>150.1030927835052</v>
      </c>
      <c r="B100" s="78">
        <f t="shared" si="1"/>
        <v>0</v>
      </c>
      <c r="C100" s="81">
        <f>Cd*A*POWER(krpm9/krpmMax*vmax6mps3,2)</f>
        <v>417.23960116988087</v>
      </c>
      <c r="D100" s="80">
        <f t="shared" si="2"/>
        <v>417.23960116988087</v>
      </c>
      <c r="F100" s="73">
        <f t="shared" si="4"/>
        <v>1518.2898715650103</v>
      </c>
      <c r="G100" s="75"/>
      <c r="I100" s="69">
        <f>Torque9</f>
        <v>80.90573322815175</v>
      </c>
      <c r="J100" s="70">
        <f>Power9</f>
        <v>59.307</v>
      </c>
      <c r="K100" s="47">
        <f t="shared" si="3"/>
        <v>59.307</v>
      </c>
    </row>
    <row r="101" spans="1:11" ht="12.75">
      <c r="A101" s="30">
        <f>krpm10/krpmMax*vmax6</f>
        <v>171.54639175257734</v>
      </c>
      <c r="B101" s="78">
        <f t="shared" si="1"/>
        <v>0</v>
      </c>
      <c r="C101" s="81">
        <f>Cd*A*POWER(krpm10/krpmMax*vmax6mps3,2)</f>
        <v>544.9660096912728</v>
      </c>
      <c r="D101" s="80">
        <f t="shared" si="2"/>
        <v>544.9660096912728</v>
      </c>
      <c r="F101" s="73">
        <f t="shared" si="4"/>
        <v>1328.5036376193843</v>
      </c>
      <c r="G101" s="75"/>
      <c r="I101" s="69">
        <f>Torque10</f>
        <v>82.36865136042178</v>
      </c>
      <c r="J101" s="70">
        <f>Power10</f>
        <v>69.005</v>
      </c>
      <c r="K101" s="47">
        <f t="shared" si="3"/>
        <v>59.307</v>
      </c>
    </row>
    <row r="102" spans="1:11" ht="12.75">
      <c r="A102" s="30">
        <f>krpm11/krpmMax*vmax6</f>
        <v>192.98969072164948</v>
      </c>
      <c r="B102" s="78">
        <f t="shared" si="1"/>
        <v>0</v>
      </c>
      <c r="C102" s="81">
        <f>Cd*A*POWER(krpm11/krpmMax*vmax6mps3,2)</f>
        <v>689.722606015517</v>
      </c>
      <c r="D102" s="80">
        <f t="shared" si="2"/>
        <v>689.722606015517</v>
      </c>
      <c r="F102" s="73">
        <f t="shared" si="4"/>
        <v>1180.8921223283417</v>
      </c>
      <c r="G102" s="75"/>
      <c r="I102" s="69">
        <f>Torque11</f>
        <v>79.15305836436929</v>
      </c>
      <c r="J102" s="70">
        <f>Power11</f>
        <v>74.6</v>
      </c>
      <c r="K102" s="47">
        <f t="shared" si="3"/>
        <v>59.307</v>
      </c>
    </row>
    <row r="103" spans="1:11" ht="12.75">
      <c r="A103" s="30">
        <f>krpmMax/krpmMax*vmax6</f>
        <v>208</v>
      </c>
      <c r="B103" s="58">
        <f t="shared" si="1"/>
        <v>0</v>
      </c>
      <c r="C103" s="82">
        <f>Cd*A*POWER(krpmMax/krpmMax*vmax6mps3,2)</f>
        <v>801.1851851851851</v>
      </c>
      <c r="D103" s="83">
        <f t="shared" si="2"/>
        <v>801.1851851851851</v>
      </c>
      <c r="F103" s="76">
        <f t="shared" si="4"/>
        <v>1095.6731031912448</v>
      </c>
      <c r="G103" s="77"/>
      <c r="I103" s="71">
        <f>TorqueRpmMax</f>
        <v>74.54259671737252</v>
      </c>
      <c r="J103" s="72">
        <f>PowerRpmMax</f>
        <v>75.719</v>
      </c>
      <c r="K103" s="48">
        <f t="shared" si="3"/>
        <v>59.307</v>
      </c>
    </row>
    <row r="104" spans="1:4" ht="12.75">
      <c r="A104" s="30"/>
      <c r="B104" s="8"/>
      <c r="C104" s="32"/>
      <c r="D104" s="29"/>
    </row>
    <row r="105" spans="1:3" s="4" customFormat="1" ht="12.75">
      <c r="A105" s="66" t="s">
        <v>78</v>
      </c>
      <c r="B105" s="62"/>
      <c r="C105" s="67"/>
    </row>
    <row r="106" spans="1:3" s="4" customFormat="1" ht="12.75">
      <c r="A106" s="68" t="s">
        <v>15</v>
      </c>
      <c r="B106" s="64" t="s">
        <v>5</v>
      </c>
      <c r="C106" s="65"/>
    </row>
    <row r="107" spans="1:3" ht="12.75">
      <c r="A107" s="84">
        <v>0</v>
      </c>
      <c r="B107" s="85">
        <f>Vmax_actual</f>
        <v>208</v>
      </c>
      <c r="C107" s="86">
        <v>0</v>
      </c>
    </row>
    <row r="108" spans="1:3" ht="12.75">
      <c r="A108" s="87">
        <f>ROUNDUP(MAX(C76:C87),-3)</f>
        <v>3000</v>
      </c>
      <c r="B108" s="59">
        <f>Vmax_actual</f>
        <v>208</v>
      </c>
      <c r="C108" s="77">
        <f>ROUNDUP(MAX(B55:B69),-0.5)</f>
        <v>76</v>
      </c>
    </row>
    <row r="109" ht="13.5" customHeight="1"/>
    <row r="110" spans="1:13" ht="12.75">
      <c r="A110" s="66" t="s">
        <v>17</v>
      </c>
      <c r="B110" s="62"/>
      <c r="C110" s="62"/>
      <c r="D110" s="62"/>
      <c r="E110" s="62"/>
      <c r="F110" s="61"/>
      <c r="G110" s="61"/>
      <c r="H110" s="61"/>
      <c r="I110" s="61"/>
      <c r="J110" s="61"/>
      <c r="K110" s="61"/>
      <c r="L110" s="61"/>
      <c r="M110" s="63"/>
    </row>
    <row r="111" spans="1:13" s="4" customFormat="1" ht="12.75">
      <c r="A111" s="53" t="s">
        <v>73</v>
      </c>
      <c r="B111" s="64" t="s">
        <v>53</v>
      </c>
      <c r="C111" s="54" t="s">
        <v>50</v>
      </c>
      <c r="D111" s="64" t="s">
        <v>94</v>
      </c>
      <c r="E111" s="54" t="s">
        <v>48</v>
      </c>
      <c r="F111" s="54" t="s">
        <v>95</v>
      </c>
      <c r="G111" s="64" t="s">
        <v>107</v>
      </c>
      <c r="H111" s="64" t="s">
        <v>49</v>
      </c>
      <c r="I111" s="54" t="s">
        <v>16</v>
      </c>
      <c r="J111" s="64" t="s">
        <v>52</v>
      </c>
      <c r="K111" s="64" t="s">
        <v>54</v>
      </c>
      <c r="L111" s="64" t="s">
        <v>55</v>
      </c>
      <c r="M111" s="65"/>
    </row>
    <row r="112" spans="1:13" ht="12.75">
      <c r="A112" s="88">
        <f>B76</f>
        <v>0</v>
      </c>
      <c r="B112" s="70">
        <f aca="true" t="shared" si="5" ref="B112:B136">A112*1000/3600</f>
        <v>0</v>
      </c>
      <c r="C112" s="89">
        <f aca="true" t="shared" si="6" ref="C112:C117">C113</f>
        <v>2817.0883797596043</v>
      </c>
      <c r="D112" s="26">
        <v>0</v>
      </c>
      <c r="E112" s="81">
        <f aca="true" t="shared" si="7" ref="E112:E136">M_tot*9.81*SIN(RADIANS(incline))+Cd*A*POWER(A112*1000/3600,2)</f>
        <v>0</v>
      </c>
      <c r="F112" s="89">
        <f aca="true" t="shared" si="8" ref="F112:F136">C112-E112</f>
        <v>2817.0883797596043</v>
      </c>
      <c r="G112" s="26">
        <v>0</v>
      </c>
      <c r="H112" s="90">
        <f aca="true" t="shared" si="9" ref="H112:H136">F112/M_tot</f>
        <v>9.004597665844987</v>
      </c>
      <c r="I112" s="91">
        <v>0</v>
      </c>
      <c r="J112" s="92">
        <f>I112</f>
        <v>0</v>
      </c>
      <c r="K112" s="93">
        <v>0</v>
      </c>
      <c r="L112" s="70">
        <f>K112</f>
        <v>0</v>
      </c>
      <c r="M112" s="75"/>
    </row>
    <row r="113" spans="1:13" ht="12.75">
      <c r="A113" s="88">
        <f aca="true" t="shared" si="10" ref="A113:A121">B79</f>
        <v>0</v>
      </c>
      <c r="B113" s="70">
        <f t="shared" si="5"/>
        <v>0</v>
      </c>
      <c r="C113" s="89">
        <f t="shared" si="6"/>
        <v>2817.0883797596043</v>
      </c>
      <c r="D113" s="70">
        <f aca="true" t="shared" si="11" ref="D113:D136">C113*B113/1000</f>
        <v>0</v>
      </c>
      <c r="E113" s="81">
        <f t="shared" si="7"/>
        <v>0</v>
      </c>
      <c r="F113" s="89">
        <f t="shared" si="8"/>
        <v>2817.0883797596043</v>
      </c>
      <c r="G113" s="70">
        <f aca="true" t="shared" si="12" ref="G113:G136">F113*B113/1000</f>
        <v>0</v>
      </c>
      <c r="H113" s="90">
        <f t="shared" si="9"/>
        <v>9.004597665844987</v>
      </c>
      <c r="I113" s="154">
        <f aca="true" t="shared" si="13" ref="I113:I121">(A113-A112)*1000/3600/H113+I112</f>
        <v>0</v>
      </c>
      <c r="J113" s="92">
        <f aca="true" t="shared" si="14" ref="J113:J136">I113-I112</f>
        <v>0</v>
      </c>
      <c r="K113" s="70">
        <f aca="true" t="shared" si="15" ref="K113:K136">(B112+B113)/2*J113</f>
        <v>0</v>
      </c>
      <c r="L113" s="70">
        <f>K113+K112</f>
        <v>0</v>
      </c>
      <c r="M113" s="75"/>
    </row>
    <row r="114" spans="1:13" ht="12.75">
      <c r="A114" s="88">
        <f t="shared" si="10"/>
        <v>27.1561478501383</v>
      </c>
      <c r="B114" s="70">
        <f t="shared" si="5"/>
        <v>7.543374402816194</v>
      </c>
      <c r="C114" s="89">
        <f t="shared" si="6"/>
        <v>2817.0883797596043</v>
      </c>
      <c r="D114" s="70">
        <f t="shared" si="11"/>
        <v>21.250352374349543</v>
      </c>
      <c r="E114" s="81">
        <f t="shared" si="7"/>
        <v>13.656599371455016</v>
      </c>
      <c r="F114" s="81">
        <f t="shared" si="8"/>
        <v>2803.4317803881495</v>
      </c>
      <c r="G114" s="70">
        <f t="shared" si="12"/>
        <v>21.147335532221398</v>
      </c>
      <c r="H114" s="90">
        <f t="shared" si="9"/>
        <v>8.960945438351125</v>
      </c>
      <c r="I114" s="90">
        <f t="shared" si="13"/>
        <v>0.8418056392277539</v>
      </c>
      <c r="J114" s="90">
        <f t="shared" si="14"/>
        <v>0.8418056392277539</v>
      </c>
      <c r="K114" s="94">
        <f t="shared" si="15"/>
        <v>3.175027555548481</v>
      </c>
      <c r="L114" s="94">
        <f aca="true" t="shared" si="16" ref="L114:L136">K114+L113</f>
        <v>3.175027555548481</v>
      </c>
      <c r="M114" s="75"/>
    </row>
    <row r="115" spans="1:13" ht="12.75">
      <c r="A115" s="88">
        <f t="shared" si="10"/>
        <v>36.208197133517736</v>
      </c>
      <c r="B115" s="70">
        <f t="shared" si="5"/>
        <v>10.05783253708826</v>
      </c>
      <c r="C115" s="89">
        <f t="shared" si="6"/>
        <v>2817.0883797596043</v>
      </c>
      <c r="D115" s="70">
        <f t="shared" si="11"/>
        <v>28.333803165799395</v>
      </c>
      <c r="E115" s="81">
        <f t="shared" si="7"/>
        <v>24.2783988825867</v>
      </c>
      <c r="F115" s="81">
        <f t="shared" si="8"/>
        <v>2792.8099808770176</v>
      </c>
      <c r="G115" s="70">
        <f t="shared" si="12"/>
        <v>28.08961509556971</v>
      </c>
      <c r="H115" s="90">
        <f t="shared" si="9"/>
        <v>8.926993705855898</v>
      </c>
      <c r="I115" s="90">
        <f t="shared" si="13"/>
        <v>1.123474722585866</v>
      </c>
      <c r="J115" s="90">
        <f t="shared" si="14"/>
        <v>0.281669083358112</v>
      </c>
      <c r="K115" s="94">
        <f t="shared" si="15"/>
        <v>2.478857912379664</v>
      </c>
      <c r="L115" s="94">
        <f t="shared" si="16"/>
        <v>5.653885467928145</v>
      </c>
      <c r="M115" s="75"/>
    </row>
    <row r="116" spans="1:13" ht="12.75">
      <c r="A116" s="88">
        <f t="shared" si="10"/>
        <v>45.26024641689717</v>
      </c>
      <c r="B116" s="70">
        <f t="shared" si="5"/>
        <v>12.572290671360324</v>
      </c>
      <c r="C116" s="89">
        <f t="shared" si="6"/>
        <v>2817.0883797596043</v>
      </c>
      <c r="D116" s="70">
        <f t="shared" si="11"/>
        <v>35.417253957249244</v>
      </c>
      <c r="E116" s="81">
        <f t="shared" si="7"/>
        <v>37.934998254041716</v>
      </c>
      <c r="F116" s="81">
        <f t="shared" si="8"/>
        <v>2779.1533815055627</v>
      </c>
      <c r="G116" s="70">
        <f t="shared" si="12"/>
        <v>34.94032413258189</v>
      </c>
      <c r="H116" s="90">
        <f t="shared" si="9"/>
        <v>8.883341478362034</v>
      </c>
      <c r="I116" s="90">
        <f t="shared" si="13"/>
        <v>1.406527911568498</v>
      </c>
      <c r="J116" s="90">
        <f t="shared" si="14"/>
        <v>0.2830531889826322</v>
      </c>
      <c r="K116" s="94">
        <f t="shared" si="15"/>
        <v>3.2027642706106243</v>
      </c>
      <c r="L116" s="94">
        <f t="shared" si="16"/>
        <v>8.856649738538769</v>
      </c>
      <c r="M116" s="75"/>
    </row>
    <row r="117" spans="1:13" ht="12.75">
      <c r="A117" s="88">
        <f t="shared" si="10"/>
        <v>54.3122957002766</v>
      </c>
      <c r="B117" s="70">
        <f t="shared" si="5"/>
        <v>15.086748805632388</v>
      </c>
      <c r="C117" s="89">
        <f t="shared" si="6"/>
        <v>2817.0883797596043</v>
      </c>
      <c r="D117" s="70">
        <f t="shared" si="11"/>
        <v>42.500704748699086</v>
      </c>
      <c r="E117" s="81">
        <f t="shared" si="7"/>
        <v>54.626397485820064</v>
      </c>
      <c r="F117" s="81">
        <f t="shared" si="8"/>
        <v>2762.461982273784</v>
      </c>
      <c r="G117" s="70">
        <f t="shared" si="12"/>
        <v>41.67657001167389</v>
      </c>
      <c r="H117" s="90">
        <f t="shared" si="9"/>
        <v>8.829988755869534</v>
      </c>
      <c r="I117" s="90">
        <f t="shared" si="13"/>
        <v>1.6912913698006091</v>
      </c>
      <c r="J117" s="90">
        <f t="shared" si="14"/>
        <v>0.284763458232111</v>
      </c>
      <c r="K117" s="94">
        <f t="shared" si="15"/>
        <v>3.9381418664234618</v>
      </c>
      <c r="L117" s="94">
        <f t="shared" si="16"/>
        <v>12.794791604962231</v>
      </c>
      <c r="M117" s="75"/>
    </row>
    <row r="118" spans="1:13" s="14" customFormat="1" ht="12.75">
      <c r="A118" s="95">
        <f t="shared" si="10"/>
        <v>63.36434498365604</v>
      </c>
      <c r="B118" s="70">
        <f t="shared" si="5"/>
        <v>17.601206939904454</v>
      </c>
      <c r="C118" s="81">
        <f>C84</f>
        <v>2817.0883797596043</v>
      </c>
      <c r="D118" s="94">
        <f t="shared" si="11"/>
        <v>49.58415554014894</v>
      </c>
      <c r="E118" s="81">
        <f t="shared" si="7"/>
        <v>74.35259657792177</v>
      </c>
      <c r="F118" s="81">
        <f t="shared" si="8"/>
        <v>2742.7357831816826</v>
      </c>
      <c r="G118" s="70">
        <f t="shared" si="12"/>
        <v>48.27546010126171</v>
      </c>
      <c r="H118" s="90">
        <f t="shared" si="9"/>
        <v>8.7669355383784</v>
      </c>
      <c r="I118" s="90">
        <f t="shared" si="13"/>
        <v>1.9781028928538698</v>
      </c>
      <c r="J118" s="90">
        <f t="shared" si="14"/>
        <v>0.28681152305326063</v>
      </c>
      <c r="K118" s="94">
        <f t="shared" si="15"/>
        <v>4.687641186437501</v>
      </c>
      <c r="L118" s="94">
        <f t="shared" si="16"/>
        <v>17.48243279139973</v>
      </c>
      <c r="M118" s="145"/>
    </row>
    <row r="119" spans="1:13" ht="12.75">
      <c r="A119" s="95">
        <f t="shared" si="10"/>
        <v>72.41639426703547</v>
      </c>
      <c r="B119" s="70">
        <f t="shared" si="5"/>
        <v>20.11566507417652</v>
      </c>
      <c r="C119" s="81">
        <f>C85</f>
        <v>2868.026298576013</v>
      </c>
      <c r="D119" s="70">
        <f t="shared" si="11"/>
        <v>57.69225644608526</v>
      </c>
      <c r="E119" s="81">
        <f t="shared" si="7"/>
        <v>97.1135955303468</v>
      </c>
      <c r="F119" s="81">
        <f t="shared" si="8"/>
        <v>2770.912703045666</v>
      </c>
      <c r="G119" s="70">
        <f t="shared" si="12"/>
        <v>55.73875188424776</v>
      </c>
      <c r="H119" s="90">
        <f t="shared" si="9"/>
        <v>8.85700080884023</v>
      </c>
      <c r="I119" s="90">
        <f t="shared" si="13"/>
        <v>2.261997880394389</v>
      </c>
      <c r="J119" s="90">
        <f t="shared" si="14"/>
        <v>0.28389498754051923</v>
      </c>
      <c r="K119" s="94">
        <f t="shared" si="15"/>
        <v>5.353815455252438</v>
      </c>
      <c r="L119" s="94">
        <f t="shared" si="16"/>
        <v>22.83624824665217</v>
      </c>
      <c r="M119" s="75"/>
    </row>
    <row r="120" spans="1:13" ht="12.75">
      <c r="A120" s="95">
        <f t="shared" si="10"/>
        <v>81.46844355041489</v>
      </c>
      <c r="B120" s="94">
        <f t="shared" si="5"/>
        <v>22.63012320844858</v>
      </c>
      <c r="C120" s="81">
        <f>C86</f>
        <v>2756.0613079409127</v>
      </c>
      <c r="D120" s="70">
        <f t="shared" si="11"/>
        <v>62.370006968740796</v>
      </c>
      <c r="E120" s="81">
        <f t="shared" si="7"/>
        <v>122.90939434309514</v>
      </c>
      <c r="F120" s="81">
        <f t="shared" si="8"/>
        <v>2633.1519135978174</v>
      </c>
      <c r="G120" s="70">
        <f t="shared" si="12"/>
        <v>59.58855223128076</v>
      </c>
      <c r="H120" s="90">
        <f t="shared" si="9"/>
        <v>8.416659464912314</v>
      </c>
      <c r="I120" s="90">
        <f t="shared" si="13"/>
        <v>2.5607456371207276</v>
      </c>
      <c r="J120" s="90">
        <f t="shared" si="14"/>
        <v>0.2987477567263386</v>
      </c>
      <c r="K120" s="94">
        <f t="shared" si="15"/>
        <v>6.385104179466628</v>
      </c>
      <c r="L120" s="94">
        <f t="shared" si="16"/>
        <v>29.2213524261188</v>
      </c>
      <c r="M120" s="75"/>
    </row>
    <row r="121" spans="1:13" ht="12.75">
      <c r="A121" s="96">
        <f t="shared" si="10"/>
        <v>87.8048780487805</v>
      </c>
      <c r="B121" s="97">
        <f t="shared" si="5"/>
        <v>24.390243902439025</v>
      </c>
      <c r="C121" s="98">
        <f>C87</f>
        <v>2595.5278400041484</v>
      </c>
      <c r="D121" s="97">
        <f t="shared" si="11"/>
        <v>63.30555707327191</v>
      </c>
      <c r="E121" s="98">
        <f t="shared" si="7"/>
        <v>142.77215942891135</v>
      </c>
      <c r="F121" s="98">
        <f t="shared" si="8"/>
        <v>2452.755680575237</v>
      </c>
      <c r="G121" s="97">
        <f t="shared" si="12"/>
        <v>59.82330928232285</v>
      </c>
      <c r="H121" s="99">
        <f t="shared" si="9"/>
        <v>7.840037336024411</v>
      </c>
      <c r="I121" s="99">
        <f t="shared" si="13"/>
        <v>2.7852497585364278</v>
      </c>
      <c r="J121" s="99">
        <f t="shared" si="14"/>
        <v>0.2245041214157002</v>
      </c>
      <c r="K121" s="97">
        <f t="shared" si="15"/>
        <v>5.278133103436754</v>
      </c>
      <c r="L121" s="97">
        <f t="shared" si="16"/>
        <v>34.49948552955555</v>
      </c>
      <c r="M121" s="146"/>
    </row>
    <row r="122" spans="1:13" ht="12.75">
      <c r="A122" s="100">
        <f>A121</f>
        <v>87.8048780487805</v>
      </c>
      <c r="B122" s="101">
        <f t="shared" si="5"/>
        <v>24.390243902439025</v>
      </c>
      <c r="C122" s="102">
        <f>C123</f>
        <v>2007.039859777382</v>
      </c>
      <c r="D122" s="155">
        <f t="shared" si="11"/>
        <v>48.952191701887365</v>
      </c>
      <c r="E122" s="102">
        <f t="shared" si="7"/>
        <v>142.77215942891135</v>
      </c>
      <c r="F122" s="102">
        <f t="shared" si="8"/>
        <v>1864.2677003484705</v>
      </c>
      <c r="G122" s="155">
        <f t="shared" si="12"/>
        <v>45.469943910938305</v>
      </c>
      <c r="H122" s="103">
        <f t="shared" si="9"/>
        <v>5.958982580624806</v>
      </c>
      <c r="I122" s="103">
        <f>(A122-A121)*1000/3600/H122+I121+Gearchange</f>
        <v>3.0352497585364278</v>
      </c>
      <c r="J122" s="103">
        <f t="shared" si="14"/>
        <v>0.25</v>
      </c>
      <c r="K122" s="101">
        <f t="shared" si="15"/>
        <v>6.097560975609756</v>
      </c>
      <c r="L122" s="101">
        <f t="shared" si="16"/>
        <v>40.59704650516531</v>
      </c>
      <c r="M122" s="147" t="s">
        <v>108</v>
      </c>
    </row>
    <row r="123" spans="1:13" s="14" customFormat="1" ht="12.75">
      <c r="A123" s="95">
        <f>D84</f>
        <v>88.93842295904153</v>
      </c>
      <c r="B123" s="94">
        <f t="shared" si="5"/>
        <v>24.705117488622648</v>
      </c>
      <c r="C123" s="81">
        <f>E84</f>
        <v>2007.039859777382</v>
      </c>
      <c r="D123" s="94">
        <f t="shared" si="11"/>
        <v>49.58415554014895</v>
      </c>
      <c r="E123" s="81">
        <f t="shared" si="7"/>
        <v>146.48227923039565</v>
      </c>
      <c r="F123" s="81">
        <f t="shared" si="8"/>
        <v>1860.5575805469862</v>
      </c>
      <c r="G123" s="70">
        <f t="shared" si="12"/>
        <v>45.965293621760786</v>
      </c>
      <c r="H123" s="90">
        <f t="shared" si="9"/>
        <v>5.947123479453367</v>
      </c>
      <c r="I123" s="90">
        <f>(A123-A122)*1000/3600/H123+I122</f>
        <v>3.0881952854405643</v>
      </c>
      <c r="J123" s="90">
        <f t="shared" si="14"/>
        <v>0.052945526904136564</v>
      </c>
      <c r="K123" s="94">
        <f t="shared" si="15"/>
        <v>1.2996898886993817</v>
      </c>
      <c r="L123" s="94">
        <f t="shared" si="16"/>
        <v>41.89673639386469</v>
      </c>
      <c r="M123" s="145"/>
    </row>
    <row r="124" spans="1:13" ht="12.75">
      <c r="A124" s="95">
        <f>D85</f>
        <v>101.64391195319031</v>
      </c>
      <c r="B124" s="94">
        <f t="shared" si="5"/>
        <v>28.23441998699731</v>
      </c>
      <c r="C124" s="81">
        <f>E85</f>
        <v>2043.330674851973</v>
      </c>
      <c r="D124" s="70">
        <f t="shared" si="11"/>
        <v>57.69225644608525</v>
      </c>
      <c r="E124" s="81">
        <f t="shared" si="7"/>
        <v>191.32379328051675</v>
      </c>
      <c r="F124" s="81">
        <f t="shared" si="8"/>
        <v>1852.0068815714562</v>
      </c>
      <c r="G124" s="70">
        <f t="shared" si="12"/>
        <v>52.290340113097685</v>
      </c>
      <c r="H124" s="90">
        <f t="shared" si="9"/>
        <v>5.91979185415201</v>
      </c>
      <c r="I124" s="90">
        <f>(A124-A123)*1000/3600/H124+I123</f>
        <v>3.684382209799955</v>
      </c>
      <c r="J124" s="90">
        <f t="shared" si="14"/>
        <v>0.5961869243593907</v>
      </c>
      <c r="K124" s="94">
        <f t="shared" si="15"/>
        <v>15.780930012299281</v>
      </c>
      <c r="L124" s="94">
        <f t="shared" si="16"/>
        <v>57.67766640616397</v>
      </c>
      <c r="M124" s="75"/>
    </row>
    <row r="125" spans="1:13" ht="12.75">
      <c r="A125" s="96">
        <f>D86</f>
        <v>114.34940094733909</v>
      </c>
      <c r="B125" s="97">
        <f t="shared" si="5"/>
        <v>31.763722485371968</v>
      </c>
      <c r="C125" s="98">
        <f>E86</f>
        <v>1963.5610088667609</v>
      </c>
      <c r="D125" s="97">
        <f t="shared" si="11"/>
        <v>62.370006968740796</v>
      </c>
      <c r="E125" s="98">
        <f t="shared" si="7"/>
        <v>242.14417587065395</v>
      </c>
      <c r="F125" s="98">
        <f t="shared" si="8"/>
        <v>1721.416832996107</v>
      </c>
      <c r="G125" s="97">
        <f t="shared" si="12"/>
        <v>54.678606564936246</v>
      </c>
      <c r="H125" s="99">
        <f t="shared" si="9"/>
        <v>5.502371209832529</v>
      </c>
      <c r="I125" s="99">
        <f>(A125-A124)*1000/3600/H125+I124</f>
        <v>4.325797040567449</v>
      </c>
      <c r="J125" s="99">
        <f t="shared" si="14"/>
        <v>0.6414148307674936</v>
      </c>
      <c r="K125" s="97">
        <f t="shared" si="15"/>
        <v>19.241849200139356</v>
      </c>
      <c r="L125" s="97">
        <f t="shared" si="16"/>
        <v>76.91951560630332</v>
      </c>
      <c r="M125" s="75"/>
    </row>
    <row r="126" spans="1:13" ht="12.75">
      <c r="A126" s="100">
        <f>A125</f>
        <v>114.34940094733909</v>
      </c>
      <c r="B126" s="101">
        <f t="shared" si="5"/>
        <v>31.763722485371968</v>
      </c>
      <c r="C126" s="102">
        <f>C127</f>
        <v>1592.810502968291</v>
      </c>
      <c r="D126" s="155">
        <f t="shared" si="11"/>
        <v>50.59359078807054</v>
      </c>
      <c r="E126" s="102">
        <f t="shared" si="7"/>
        <v>242.14417587065395</v>
      </c>
      <c r="F126" s="102">
        <f t="shared" si="8"/>
        <v>1350.6663270976371</v>
      </c>
      <c r="G126" s="155">
        <f t="shared" si="12"/>
        <v>42.902190384265985</v>
      </c>
      <c r="H126" s="103">
        <f t="shared" si="9"/>
        <v>4.317296874213319</v>
      </c>
      <c r="I126" s="103">
        <f>(A126-A125)*1000/3600/H126+I125+Gearchange</f>
        <v>4.575797040567449</v>
      </c>
      <c r="J126" s="103">
        <f t="shared" si="14"/>
        <v>0.25</v>
      </c>
      <c r="K126" s="101">
        <f t="shared" si="15"/>
        <v>7.940930621342992</v>
      </c>
      <c r="L126" s="101">
        <f t="shared" si="16"/>
        <v>84.8604462276463</v>
      </c>
      <c r="M126" s="147" t="s">
        <v>108</v>
      </c>
    </row>
    <row r="127" spans="1:13" s="14" customFormat="1" ht="12.75">
      <c r="A127" s="95">
        <f>F84</f>
        <v>112.06791995148576</v>
      </c>
      <c r="B127" s="94">
        <f t="shared" si="5"/>
        <v>31.1299777643016</v>
      </c>
      <c r="C127" s="81">
        <f>G84</f>
        <v>1592.810502968291</v>
      </c>
      <c r="D127" s="94">
        <f t="shared" si="11"/>
        <v>49.58415554014895</v>
      </c>
      <c r="E127" s="81">
        <f t="shared" si="7"/>
        <v>232.57812374541888</v>
      </c>
      <c r="F127" s="81">
        <f t="shared" si="8"/>
        <v>1360.2323792228722</v>
      </c>
      <c r="G127" s="70">
        <f t="shared" si="12"/>
        <v>42.34400371949107</v>
      </c>
      <c r="H127" s="90">
        <f t="shared" si="9"/>
        <v>4.347873994639195</v>
      </c>
      <c r="I127" s="90">
        <f>(A127-A126)*1000/3600/H127+I126</f>
        <v>4.430037360813215</v>
      </c>
      <c r="J127" s="90">
        <f t="shared" si="14"/>
        <v>-0.14575967975423332</v>
      </c>
      <c r="K127" s="94">
        <f t="shared" si="15"/>
        <v>-4.583682803475582</v>
      </c>
      <c r="L127" s="94">
        <f t="shared" si="16"/>
        <v>80.27676342417072</v>
      </c>
      <c r="M127" s="145"/>
    </row>
    <row r="128" spans="1:16" ht="12.75">
      <c r="A128" s="95">
        <f>F85</f>
        <v>128.077622801698</v>
      </c>
      <c r="B128" s="94">
        <f t="shared" si="5"/>
        <v>35.57711744491611</v>
      </c>
      <c r="C128" s="81">
        <f>G85</f>
        <v>1621.611321811271</v>
      </c>
      <c r="D128" s="70">
        <f t="shared" si="11"/>
        <v>57.692256446085246</v>
      </c>
      <c r="E128" s="81">
        <f t="shared" si="7"/>
        <v>303.775508565445</v>
      </c>
      <c r="F128" s="81">
        <f t="shared" si="8"/>
        <v>1317.8358132458259</v>
      </c>
      <c r="G128" s="70">
        <f t="shared" si="12"/>
        <v>46.88479950096329</v>
      </c>
      <c r="H128" s="90">
        <f t="shared" si="9"/>
        <v>4.212356762812293</v>
      </c>
      <c r="I128" s="90">
        <f>(A128-A127)*1000/3600/H128+I127</f>
        <v>5.485774073305124</v>
      </c>
      <c r="J128" s="90">
        <f t="shared" si="14"/>
        <v>1.0557367124919086</v>
      </c>
      <c r="K128" s="94">
        <f t="shared" si="15"/>
        <v>35.212564698032125</v>
      </c>
      <c r="L128" s="94">
        <f t="shared" si="16"/>
        <v>115.48932812220285</v>
      </c>
      <c r="M128" s="65"/>
      <c r="N128" s="4"/>
      <c r="P128" s="4"/>
    </row>
    <row r="129" spans="1:13" s="14" customFormat="1" ht="12.75">
      <c r="A129" s="96">
        <f>F86</f>
        <v>144.08732565191025</v>
      </c>
      <c r="B129" s="97">
        <f t="shared" si="5"/>
        <v>40.024257125530625</v>
      </c>
      <c r="C129" s="98">
        <f>G86</f>
        <v>1558.3051741129332</v>
      </c>
      <c r="D129" s="97">
        <f t="shared" si="11"/>
        <v>62.3700069687408</v>
      </c>
      <c r="E129" s="98">
        <f t="shared" si="7"/>
        <v>384.46587802814133</v>
      </c>
      <c r="F129" s="98">
        <f t="shared" si="8"/>
        <v>1173.8392960847918</v>
      </c>
      <c r="G129" s="97">
        <f t="shared" si="12"/>
        <v>46.982045810549586</v>
      </c>
      <c r="H129" s="99">
        <f t="shared" si="9"/>
        <v>3.7520834140476005</v>
      </c>
      <c r="I129" s="99">
        <f>(A129-A128)*1000/3600/H129+I128</f>
        <v>6.671019492947091</v>
      </c>
      <c r="J129" s="99">
        <f t="shared" si="14"/>
        <v>1.1852454196419675</v>
      </c>
      <c r="K129" s="97">
        <f t="shared" si="15"/>
        <v>44.80309146412936</v>
      </c>
      <c r="L129" s="97">
        <f t="shared" si="16"/>
        <v>160.29241958633222</v>
      </c>
      <c r="M129" s="145"/>
    </row>
    <row r="130" spans="1:13" ht="12.75">
      <c r="A130" s="100">
        <f>A129</f>
        <v>144.08732565191025</v>
      </c>
      <c r="B130" s="101">
        <f t="shared" si="5"/>
        <v>40.024257125530625</v>
      </c>
      <c r="C130" s="102">
        <f>G87</f>
        <v>1467.5379139713036</v>
      </c>
      <c r="D130" s="155">
        <f t="shared" si="11"/>
        <v>58.7371148102523</v>
      </c>
      <c r="E130" s="102">
        <f t="shared" si="7"/>
        <v>384.46587802814133</v>
      </c>
      <c r="F130" s="102">
        <f t="shared" si="8"/>
        <v>1083.0720359431623</v>
      </c>
      <c r="G130" s="155">
        <f t="shared" si="12"/>
        <v>43.34915365206108</v>
      </c>
      <c r="H130" s="103">
        <f t="shared" si="9"/>
        <v>3.461953127515302</v>
      </c>
      <c r="I130" s="103">
        <f>(A130-A129)*1000/3600/H130+I129+Gearchange</f>
        <v>6.921019492947091</v>
      </c>
      <c r="J130" s="103">
        <f t="shared" si="14"/>
        <v>0.25</v>
      </c>
      <c r="K130" s="101">
        <f t="shared" si="15"/>
        <v>10.006064281382656</v>
      </c>
      <c r="L130" s="101">
        <f t="shared" si="16"/>
        <v>170.29848386771488</v>
      </c>
      <c r="M130" s="147" t="s">
        <v>108</v>
      </c>
    </row>
    <row r="131" spans="1:13" ht="12.75">
      <c r="A131" s="95">
        <f>H85</f>
        <v>153.2424343199202</v>
      </c>
      <c r="B131" s="94">
        <f t="shared" si="5"/>
        <v>42.5673428666445</v>
      </c>
      <c r="C131" s="81">
        <f>I85</f>
        <v>1355.317305729518</v>
      </c>
      <c r="D131" s="70">
        <f t="shared" si="11"/>
        <v>57.692256446085246</v>
      </c>
      <c r="E131" s="81">
        <f t="shared" si="7"/>
        <v>434.87488289435294</v>
      </c>
      <c r="F131" s="81">
        <f t="shared" si="8"/>
        <v>920.4424228351651</v>
      </c>
      <c r="G131" s="70">
        <f t="shared" si="12"/>
        <v>39.18078820182945</v>
      </c>
      <c r="H131" s="90">
        <f t="shared" si="9"/>
        <v>2.94212057802514</v>
      </c>
      <c r="I131" s="90">
        <f>(A131-A130)*1000/3600/H131+I130</f>
        <v>7.785391184613409</v>
      </c>
      <c r="J131" s="90">
        <f t="shared" si="14"/>
        <v>0.8643716916663173</v>
      </c>
      <c r="K131" s="94">
        <f t="shared" si="15"/>
        <v>35.69492050133211</v>
      </c>
      <c r="L131" s="94">
        <f t="shared" si="16"/>
        <v>205.993404369047</v>
      </c>
      <c r="M131" s="75"/>
    </row>
    <row r="132" spans="1:13" s="14" customFormat="1" ht="12.75">
      <c r="A132" s="96">
        <f>H86</f>
        <v>172.39773860991022</v>
      </c>
      <c r="B132" s="97">
        <f t="shared" si="5"/>
        <v>47.88826072497506</v>
      </c>
      <c r="C132" s="98">
        <f>I86</f>
        <v>1302.4070205208584</v>
      </c>
      <c r="D132" s="97">
        <f t="shared" si="11"/>
        <v>62.37000696874081</v>
      </c>
      <c r="E132" s="98">
        <f t="shared" si="7"/>
        <v>550.3885236631654</v>
      </c>
      <c r="F132" s="98">
        <f t="shared" si="8"/>
        <v>752.018496857693</v>
      </c>
      <c r="G132" s="97">
        <f t="shared" si="12"/>
        <v>36.01285784752504</v>
      </c>
      <c r="H132" s="99">
        <f t="shared" si="9"/>
        <v>2.4037669709371676</v>
      </c>
      <c r="I132" s="99">
        <f>(A132-A131)*1000/3600/H132+I131</f>
        <v>9.998965929030533</v>
      </c>
      <c r="J132" s="99">
        <f t="shared" si="14"/>
        <v>2.213574744417124</v>
      </c>
      <c r="K132" s="97">
        <f t="shared" si="15"/>
        <v>100.11511980070797</v>
      </c>
      <c r="L132" s="97">
        <f t="shared" si="16"/>
        <v>306.10852416975496</v>
      </c>
      <c r="M132" s="145"/>
    </row>
    <row r="133" spans="1:13" ht="12.75">
      <c r="A133" s="100">
        <f>A132</f>
        <v>172.39773860991022</v>
      </c>
      <c r="B133" s="101">
        <f t="shared" si="5"/>
        <v>47.88826072497506</v>
      </c>
      <c r="C133" s="102">
        <f>I87</f>
        <v>1226.5451682946434</v>
      </c>
      <c r="D133" s="155">
        <f t="shared" si="11"/>
        <v>58.7371148102523</v>
      </c>
      <c r="E133" s="102">
        <f t="shared" si="7"/>
        <v>550.3885236631654</v>
      </c>
      <c r="F133" s="102">
        <f t="shared" si="8"/>
        <v>676.156644631478</v>
      </c>
      <c r="G133" s="155">
        <f t="shared" si="12"/>
        <v>32.37996568903653</v>
      </c>
      <c r="H133" s="103">
        <f t="shared" si="9"/>
        <v>2.1612806285167907</v>
      </c>
      <c r="I133" s="103">
        <f>(A133-A132)*1000/3600/H133+I132+Gearchange</f>
        <v>10.248965929030533</v>
      </c>
      <c r="J133" s="103">
        <f t="shared" si="14"/>
        <v>0.25</v>
      </c>
      <c r="K133" s="101">
        <f t="shared" si="15"/>
        <v>11.972065181243766</v>
      </c>
      <c r="L133" s="101">
        <f t="shared" si="16"/>
        <v>318.0805893509987</v>
      </c>
      <c r="M133" s="147" t="s">
        <v>108</v>
      </c>
    </row>
    <row r="134" spans="1:13" ht="12.75">
      <c r="A134" s="95">
        <f>L85</f>
        <v>171.54639175257734</v>
      </c>
      <c r="B134" s="94">
        <f t="shared" si="5"/>
        <v>47.651775486827034</v>
      </c>
      <c r="C134" s="81">
        <f>M85</f>
        <v>1210.7052855152024</v>
      </c>
      <c r="D134" s="70">
        <f t="shared" si="11"/>
        <v>57.692256446085246</v>
      </c>
      <c r="E134" s="81">
        <f t="shared" si="7"/>
        <v>544.9660096912728</v>
      </c>
      <c r="F134" s="81">
        <f t="shared" si="8"/>
        <v>665.7392758239296</v>
      </c>
      <c r="G134" s="70">
        <f t="shared" si="12"/>
        <v>31.72365850432471</v>
      </c>
      <c r="H134" s="90">
        <f t="shared" si="9"/>
        <v>2.127982342413072</v>
      </c>
      <c r="I134" s="90">
        <f>(A134-A133)*1000/3600/H134+I133</f>
        <v>10.137834725808302</v>
      </c>
      <c r="J134" s="90">
        <f t="shared" si="14"/>
        <v>-0.11113120322223047</v>
      </c>
      <c r="K134" s="94">
        <f t="shared" si="15"/>
        <v>-5.308739590056518</v>
      </c>
      <c r="L134" s="94">
        <f t="shared" si="16"/>
        <v>312.7718497609422</v>
      </c>
      <c r="M134" s="75"/>
    </row>
    <row r="135" spans="1:13" ht="12.75">
      <c r="A135" s="95">
        <f>L86</f>
        <v>192.98969072164948</v>
      </c>
      <c r="B135" s="94">
        <f t="shared" si="5"/>
        <v>53.60824742268041</v>
      </c>
      <c r="C135" s="81">
        <f>M86</f>
        <v>1163.4405146092035</v>
      </c>
      <c r="D135" s="70">
        <f t="shared" si="11"/>
        <v>62.3700069687408</v>
      </c>
      <c r="E135" s="81">
        <f t="shared" si="7"/>
        <v>689.7226060155168</v>
      </c>
      <c r="F135" s="81">
        <f t="shared" si="8"/>
        <v>473.71790859368673</v>
      </c>
      <c r="G135" s="70">
        <f t="shared" si="12"/>
        <v>25.395186852445057</v>
      </c>
      <c r="H135" s="90">
        <f t="shared" si="9"/>
        <v>1.5142014019296361</v>
      </c>
      <c r="I135" s="90">
        <f>(A135-A134)*1000/3600/H135+I134</f>
        <v>14.071572951293161</v>
      </c>
      <c r="J135" s="90">
        <f t="shared" si="14"/>
        <v>3.933738225484859</v>
      </c>
      <c r="K135" s="94">
        <f t="shared" si="15"/>
        <v>199.165211416301</v>
      </c>
      <c r="L135" s="94">
        <f t="shared" si="16"/>
        <v>511.9370611772432</v>
      </c>
      <c r="M135" s="75"/>
    </row>
    <row r="136" spans="1:13" ht="12.75">
      <c r="A136" s="104">
        <f>L87</f>
        <v>208</v>
      </c>
      <c r="B136" s="105">
        <f t="shared" si="5"/>
        <v>57.77777777777778</v>
      </c>
      <c r="C136" s="82">
        <f>M87</f>
        <v>1095.6731031912448</v>
      </c>
      <c r="D136" s="72">
        <f t="shared" si="11"/>
        <v>63.30555707327192</v>
      </c>
      <c r="E136" s="82">
        <f t="shared" si="7"/>
        <v>801.1851851851851</v>
      </c>
      <c r="F136" s="82">
        <f t="shared" si="8"/>
        <v>294.48791800605966</v>
      </c>
      <c r="G136" s="72">
        <f t="shared" si="12"/>
        <v>17.014857484794558</v>
      </c>
      <c r="H136" s="106">
        <f t="shared" si="9"/>
        <v>0.9413070736968504</v>
      </c>
      <c r="I136" s="106">
        <f>(A136-A135)*1000/3600/H136+I135</f>
        <v>18.501084288886883</v>
      </c>
      <c r="J136" s="106">
        <f t="shared" si="14"/>
        <v>4.429511337593722</v>
      </c>
      <c r="K136" s="105">
        <f t="shared" si="15"/>
        <v>246.6928307374648</v>
      </c>
      <c r="L136" s="105">
        <f t="shared" si="16"/>
        <v>758.629891914708</v>
      </c>
      <c r="M136" s="77"/>
    </row>
    <row r="137" spans="1:12" ht="12.75">
      <c r="A137" s="32"/>
      <c r="B137" s="27"/>
      <c r="C137" s="32"/>
      <c r="D137" s="32"/>
      <c r="E137" s="32"/>
      <c r="F137" s="156"/>
      <c r="G137" s="156"/>
      <c r="H137" s="8"/>
      <c r="I137" s="156"/>
      <c r="J137" s="27"/>
      <c r="K137" s="27"/>
      <c r="L137" s="157"/>
    </row>
    <row r="138" spans="1:6" ht="12.75">
      <c r="A138" s="30"/>
      <c r="B138" s="1"/>
      <c r="C138" s="1"/>
      <c r="D138" s="1"/>
      <c r="F138" s="2"/>
    </row>
    <row r="139" spans="1:6" ht="12.75">
      <c r="A139" s="1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s="14" customFormat="1" ht="12.75">
      <c r="A141" s="31"/>
      <c r="B141" s="11"/>
      <c r="C141" s="11"/>
      <c r="D141" s="11"/>
      <c r="F141" s="13"/>
    </row>
    <row r="142" spans="1:6" ht="12.75">
      <c r="A142" s="1"/>
      <c r="B142" s="1"/>
      <c r="C142" s="1"/>
      <c r="D142" s="1"/>
      <c r="F142" s="2"/>
    </row>
    <row r="143" spans="1:6" ht="12.75">
      <c r="A143" s="1"/>
      <c r="B143" s="1"/>
      <c r="C143" s="1"/>
      <c r="D143" s="1"/>
      <c r="F143" s="2"/>
    </row>
    <row r="144" spans="1:6" ht="12.75">
      <c r="A144" s="1"/>
      <c r="B144" s="1"/>
      <c r="C144" s="1"/>
      <c r="D144" s="1"/>
      <c r="F144" s="2"/>
    </row>
    <row r="145" spans="1:6" s="14" customFormat="1" ht="12.75">
      <c r="A145" s="11"/>
      <c r="B145" s="11"/>
      <c r="C145" s="11"/>
      <c r="D145" s="11"/>
      <c r="F145" s="13"/>
    </row>
    <row r="146" spans="1:6" ht="12.75">
      <c r="A146" s="1"/>
      <c r="B146" s="1"/>
      <c r="C146" s="1"/>
      <c r="D146" s="1"/>
      <c r="F146" s="2"/>
    </row>
    <row r="147" spans="1:6" ht="12.75">
      <c r="A147" s="1"/>
      <c r="B147" s="1"/>
      <c r="C147" s="1"/>
      <c r="D147" s="1"/>
      <c r="F147" s="2"/>
    </row>
    <row r="148" spans="1:6" s="14" customFormat="1" ht="12.75">
      <c r="A148" s="11"/>
      <c r="B148" s="11"/>
      <c r="C148" s="11"/>
      <c r="D148" s="11"/>
      <c r="F148" s="13"/>
    </row>
    <row r="149" spans="1:6" ht="12.75">
      <c r="A149" s="1"/>
      <c r="B149" s="1"/>
      <c r="C149" s="1"/>
      <c r="D149" s="1"/>
      <c r="F149" s="2"/>
    </row>
    <row r="150" spans="1:6" ht="12.75">
      <c r="A150" s="1"/>
      <c r="B150" s="1"/>
      <c r="C150" s="1"/>
      <c r="D150" s="1"/>
      <c r="F150" s="2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1:R39"/>
  <sheetViews>
    <sheetView tabSelected="1" workbookViewId="0" topLeftCell="A1">
      <selection activeCell="M43" sqref="M43"/>
    </sheetView>
  </sheetViews>
  <sheetFormatPr defaultColWidth="9.140625" defaultRowHeight="12.75"/>
  <sheetData>
    <row r="31" spans="4:17" ht="12.75">
      <c r="D31" s="158" t="s">
        <v>124</v>
      </c>
      <c r="E31" s="158" t="s">
        <v>123</v>
      </c>
      <c r="F31" s="158" t="s">
        <v>116</v>
      </c>
      <c r="M31" s="158" t="s">
        <v>124</v>
      </c>
      <c r="N31" s="158"/>
      <c r="O31" s="158" t="s">
        <v>123</v>
      </c>
      <c r="Q31" s="158" t="s">
        <v>116</v>
      </c>
    </row>
    <row r="32" spans="3:17" ht="12.75">
      <c r="C32" s="158" t="s">
        <v>117</v>
      </c>
      <c r="D32" s="2">
        <f>MAX('1996 Triumph Speed III - Bonz'!B62:B69)</f>
        <v>75.719</v>
      </c>
      <c r="E32" s="2">
        <f>MAX('1994 Triumph Trophy 3'!B62:B69)</f>
        <v>76.32953642384106</v>
      </c>
      <c r="F32" s="159">
        <f>E32/D32-1</f>
        <v>0.008063186569303271</v>
      </c>
      <c r="L32" s="158" t="s">
        <v>118</v>
      </c>
      <c r="M32" s="160">
        <f>'1996 Triumph Speed III - Bonz'!G4</f>
        <v>3.444888431089431</v>
      </c>
      <c r="O32" s="160">
        <f>'1994 Triumph Trophy 3'!G4</f>
        <v>3.400750744218205</v>
      </c>
      <c r="Q32" s="159">
        <f>1-O32/M32</f>
        <v>0.012812515631244414</v>
      </c>
    </row>
    <row r="33" spans="3:17" ht="12.75">
      <c r="C33" s="158" t="s">
        <v>119</v>
      </c>
      <c r="D33" s="2">
        <f>MAX('1996 Triumph Speed III - Bonz'!C62:C69)</f>
        <v>82.36865136042178</v>
      </c>
      <c r="E33" s="2">
        <f>MAX('1994 Triumph Trophy 3'!C62:C69)</f>
        <v>88.34225020270536</v>
      </c>
      <c r="F33" s="159">
        <f>E33/D33-1</f>
        <v>0.0725227224632441</v>
      </c>
      <c r="L33" s="158" t="s">
        <v>120</v>
      </c>
      <c r="M33" s="160">
        <f>'1996 Triumph Speed III - Bonz'!G5</f>
        <v>8.670294589776118</v>
      </c>
      <c r="O33" s="160">
        <f>'1994 Triumph Trophy 3'!G5</f>
        <v>8.102656310353392</v>
      </c>
      <c r="Q33" s="159">
        <f>1-O33/M33</f>
        <v>0.06546931866560524</v>
      </c>
    </row>
    <row r="34" spans="12:18" ht="12.75">
      <c r="L34" s="158" t="s">
        <v>121</v>
      </c>
      <c r="M34" s="160">
        <f>'1996 Triumph Speed III - Bonz'!G6</f>
        <v>11.90682800994173</v>
      </c>
      <c r="N34" s="160">
        <f>'1996 Triumph Speed III - Bonz'!I6</f>
        <v>112.60994117563551</v>
      </c>
      <c r="O34" s="160">
        <f>'1994 Triumph Trophy 3'!G6</f>
        <v>11.786712190539102</v>
      </c>
      <c r="P34" s="160">
        <f>'1994 Triumph Trophy 3'!I6</f>
        <v>115.03319288109638</v>
      </c>
      <c r="Q34" s="159">
        <f>1-O34/M34</f>
        <v>0.010087978032632727</v>
      </c>
      <c r="R34" s="159">
        <f>P34/N34-1</f>
        <v>0.021518985625624154</v>
      </c>
    </row>
    <row r="35" spans="4:12" ht="12.75">
      <c r="D35" t="s">
        <v>126</v>
      </c>
      <c r="L35" s="158"/>
    </row>
    <row r="36" spans="12:17" ht="12.75">
      <c r="L36" s="158" t="s">
        <v>122</v>
      </c>
      <c r="M36" s="160">
        <f>'1996 Triumph Speed III - Bonz'!L6</f>
        <v>1.3397975677339897</v>
      </c>
      <c r="O36" s="160">
        <f>'1994 Triumph Trophy 3'!L6</f>
        <v>1.6446084724005132</v>
      </c>
      <c r="Q36" s="161">
        <f>-(1-O36/M36)</f>
        <v>0.22750519332711772</v>
      </c>
    </row>
    <row r="37" ht="12.75">
      <c r="D37" s="158"/>
    </row>
    <row r="38" spans="4:13" ht="12.75">
      <c r="D38" s="2"/>
      <c r="M38" t="s">
        <v>126</v>
      </c>
    </row>
    <row r="39" ht="12.75">
      <c r="D39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Headway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Tynan</dc:creator>
  <cp:keywords/>
  <dc:description/>
  <cp:lastModifiedBy>Keith Tynan</cp:lastModifiedBy>
  <cp:lastPrinted>2001-01-17T11:55:37Z</cp:lastPrinted>
  <dcterms:created xsi:type="dcterms:W3CDTF">1999-11-20T08:46:20Z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