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0"/>
  </bookViews>
  <sheets>
    <sheet name="1999 Triumph Daytona 955" sheetId="1" r:id="rId1"/>
  </sheets>
  <definedNames>
    <definedName name="A" localSheetId="0">'1999 Triumph Daytona 955'!$B$18</definedName>
    <definedName name="A">#REF!</definedName>
    <definedName name="a_ref1" localSheetId="0">'1999 Triumph Daytona 955'!$E$4</definedName>
    <definedName name="a_ref1">#REF!</definedName>
    <definedName name="a_ref2" localSheetId="0">'1999 Triumph Daytona 955'!$E$5</definedName>
    <definedName name="a_ref2">#REF!</definedName>
    <definedName name="Cd" localSheetId="0">'1999 Triumph Daytona 955'!$B$17</definedName>
    <definedName name="Cd">#REF!</definedName>
    <definedName name="cPower1" localSheetId="0">'1999 Triumph Daytona 955'!$B$5</definedName>
    <definedName name="cPower1">#REF!</definedName>
    <definedName name="cPower10" localSheetId="0">'1999 Triumph Daytona 955'!$B$14</definedName>
    <definedName name="cPower10">#REF!</definedName>
    <definedName name="cPower11" localSheetId="0">'1999 Triumph Daytona 955'!$B$15</definedName>
    <definedName name="cPower11">#REF!</definedName>
    <definedName name="cPower2" localSheetId="0">'1999 Triumph Daytona 955'!$B$6</definedName>
    <definedName name="cPower2">#REF!</definedName>
    <definedName name="cPower3" localSheetId="0">'1999 Triumph Daytona 955'!$B$7</definedName>
    <definedName name="cPower3">#REF!</definedName>
    <definedName name="cPower4" localSheetId="0">'1999 Triumph Daytona 955'!$B$8</definedName>
    <definedName name="cPower4">#REF!</definedName>
    <definedName name="cPower5" localSheetId="0">'1999 Triumph Daytona 955'!$B$9</definedName>
    <definedName name="cPower5">#REF!</definedName>
    <definedName name="cPower6" localSheetId="0">'1999 Triumph Daytona 955'!$B$10</definedName>
    <definedName name="cPower6">#REF!</definedName>
    <definedName name="cPower7" localSheetId="0">'1999 Triumph Daytona 955'!$B$11</definedName>
    <definedName name="cPower7">#REF!</definedName>
    <definedName name="cPower8" localSheetId="0">'1999 Triumph Daytona 955'!$B$12</definedName>
    <definedName name="cPower8">#REF!</definedName>
    <definedName name="cPower9" localSheetId="0">'1999 Triumph Daytona 955'!$B$13</definedName>
    <definedName name="cPower9">#REF!</definedName>
    <definedName name="cPowerRpmMax" localSheetId="0">'1999 Triumph Daytona 955'!$B$16</definedName>
    <definedName name="cPowerRpmMax">#REF!</definedName>
    <definedName name="Crown_1" localSheetId="0">'1999 Triumph Daytona 955'!$B$31</definedName>
    <definedName name="Crown_1">#REF!</definedName>
    <definedName name="Crown_2" localSheetId="0">'1999 Triumph Daytona 955'!$B$32</definedName>
    <definedName name="Crown_2">#REF!</definedName>
    <definedName name="Crown_3" localSheetId="0">'1999 Triumph Daytona 955'!$B$33</definedName>
    <definedName name="Crown_3">#REF!</definedName>
    <definedName name="Crown_4" localSheetId="0">'1999 Triumph Daytona 955'!$B$34</definedName>
    <definedName name="Crown_4">#REF!</definedName>
    <definedName name="Crown_5" localSheetId="0">'1999 Triumph Daytona 955'!$B$35</definedName>
    <definedName name="Crown_5">#REF!</definedName>
    <definedName name="Crown_6" localSheetId="0">'1999 Triumph Daytona 955'!$B$36</definedName>
    <definedName name="Crown_6">#REF!</definedName>
    <definedName name="Crown_f" localSheetId="0">'1999 Triumph Daytona 955'!$B$37</definedName>
    <definedName name="Crown_f">#REF!</definedName>
    <definedName name="Crown_p" localSheetId="0">'1999 Triumph Daytona 955'!$B$30</definedName>
    <definedName name="Crown_p">#REF!</definedName>
    <definedName name="efficiency" localSheetId="0">'1999 Triumph Daytona 955'!$B$44</definedName>
    <definedName name="efficiency">#REF!</definedName>
    <definedName name="Gearchange" localSheetId="0">'1999 Triumph Daytona 955'!$B$19</definedName>
    <definedName name="Gearchange">#REF!</definedName>
    <definedName name="Gearing_rpm" localSheetId="0">'1999 Triumph Daytona 955'!$D$25</definedName>
    <definedName name="Gearing_rpm">#REF!</definedName>
    <definedName name="Gearing_v" localSheetId="0">'1999 Triumph Daytona 955'!$B$25</definedName>
    <definedName name="Gearing_v">#REF!</definedName>
    <definedName name="incline" localSheetId="0">'1999 Triumph Daytona 955'!$B$47</definedName>
    <definedName name="incline">#REF!</definedName>
    <definedName name="krpm0" localSheetId="0">'1999 Triumph Daytona 955'!$A$57</definedName>
    <definedName name="krpm0">#REF!</definedName>
    <definedName name="krpm1" localSheetId="0">'1999 Triumph Daytona 955'!$A$58</definedName>
    <definedName name="krpm1">#REF!</definedName>
    <definedName name="krpm10" localSheetId="0">'1999 Triumph Daytona 955'!$A$67</definedName>
    <definedName name="krpm10">#REF!</definedName>
    <definedName name="krpm11" localSheetId="0">'1999 Triumph Daytona 955'!$A$68</definedName>
    <definedName name="krpm11">#REF!</definedName>
    <definedName name="krpm2" localSheetId="0">'1999 Triumph Daytona 955'!$A$59</definedName>
    <definedName name="krpm2">#REF!</definedName>
    <definedName name="krpm3" localSheetId="0">'1999 Triumph Daytona 955'!$A$60</definedName>
    <definedName name="krpm3">#REF!</definedName>
    <definedName name="krpm4" localSheetId="0">'1999 Triumph Daytona 955'!$A$61</definedName>
    <definedName name="krpm4">#REF!</definedName>
    <definedName name="krpm5" localSheetId="0">'1999 Triumph Daytona 955'!$A$62</definedName>
    <definedName name="krpm5">#REF!</definedName>
    <definedName name="krpm6" localSheetId="0">'1999 Triumph Daytona 955'!$A$63</definedName>
    <definedName name="krpm6">#REF!</definedName>
    <definedName name="krpm7" localSheetId="0">'1999 Triumph Daytona 955'!$A$64</definedName>
    <definedName name="krpm7">#REF!</definedName>
    <definedName name="krpm8" localSheetId="0">'1999 Triumph Daytona 955'!$A$65</definedName>
    <definedName name="krpm8">#REF!</definedName>
    <definedName name="krpm9" localSheetId="0">'1999 Triumph Daytona 955'!$A$66</definedName>
    <definedName name="krpm9">#REF!</definedName>
    <definedName name="krpmMax" localSheetId="0">'1999 Triumph Daytona 955'!$A$69</definedName>
    <definedName name="krpmMax">#REF!</definedName>
    <definedName name="Loss_crank_gearbox" localSheetId="0">'1999 Triumph Daytona 955'!$B$20</definedName>
    <definedName name="Loss_crank_gearbox">#REF!</definedName>
    <definedName name="Loss_gearbox_wheel" localSheetId="0">'1999 Triumph Daytona 955'!$B$21</definedName>
    <definedName name="Loss_gearbox_wheel">#REF!</definedName>
    <definedName name="Loss_wheel_road" localSheetId="0">'1999 Triumph Daytona 955'!$B$22</definedName>
    <definedName name="Loss_wheel_road">#REF!</definedName>
    <definedName name="M_accessories" localSheetId="0">'1999 Triumph Daytona 955'!$B$23</definedName>
    <definedName name="M_accessories">#REF!</definedName>
    <definedName name="M_bike" localSheetId="0">'1999 Triumph Daytona 955'!$B$38</definedName>
    <definedName name="M_bike">#REF!</definedName>
    <definedName name="M_rider" localSheetId="0">'1999 Triumph Daytona 955'!$B$24</definedName>
    <definedName name="M_rider">#REF!</definedName>
    <definedName name="M_tot" localSheetId="0">'1999 Triumph Daytona 955'!$B$43</definedName>
    <definedName name="M_tot">#REF!</definedName>
    <definedName name="Pinion_1" localSheetId="0">'1999 Triumph Daytona 955'!$C$31</definedName>
    <definedName name="Pinion_1">#REF!</definedName>
    <definedName name="Pinion_2" localSheetId="0">'1999 Triumph Daytona 955'!$C$32</definedName>
    <definedName name="Pinion_2">#REF!</definedName>
    <definedName name="Pinion_3" localSheetId="0">'1999 Triumph Daytona 955'!$C$33</definedName>
    <definedName name="Pinion_3">#REF!</definedName>
    <definedName name="Pinion_4" localSheetId="0">'1999 Triumph Daytona 955'!$C$34</definedName>
    <definedName name="Pinion_4">#REF!</definedName>
    <definedName name="Pinion_5" localSheetId="0">'1999 Triumph Daytona 955'!$C$35</definedName>
    <definedName name="Pinion_5">#REF!</definedName>
    <definedName name="Pinion_6" localSheetId="0">'1999 Triumph Daytona 955'!$C$36</definedName>
    <definedName name="Pinion_6">#REF!</definedName>
    <definedName name="Pinion_f" localSheetId="0">'1999 Triumph Daytona 955'!$C$37</definedName>
    <definedName name="Pinion_f">#REF!</definedName>
    <definedName name="Pinion_p" localSheetId="0">'1999 Triumph Daytona 955'!$C$30</definedName>
    <definedName name="Pinion_p">#REF!</definedName>
    <definedName name="Power1" localSheetId="0">'1999 Triumph Daytona 955'!$B$58</definedName>
    <definedName name="Power1">#REF!</definedName>
    <definedName name="Power10" localSheetId="0">'1999 Triumph Daytona 955'!$B$67</definedName>
    <definedName name="Power10">#REF!</definedName>
    <definedName name="Power11" localSheetId="0">'1999 Triumph Daytona 955'!$B$68</definedName>
    <definedName name="Power11">#REF!</definedName>
    <definedName name="Power2" localSheetId="0">'1999 Triumph Daytona 955'!$B$59</definedName>
    <definedName name="Power2">#REF!</definedName>
    <definedName name="Power3" localSheetId="0">'1999 Triumph Daytona 955'!$B$60</definedName>
    <definedName name="Power3">#REF!</definedName>
    <definedName name="Power4" localSheetId="0">'1999 Triumph Daytona 955'!$B$61</definedName>
    <definedName name="Power4">#REF!</definedName>
    <definedName name="Power5" localSheetId="0">'1999 Triumph Daytona 955'!$B$62</definedName>
    <definedName name="Power5">#REF!</definedName>
    <definedName name="Power6" localSheetId="0">'1999 Triumph Daytona 955'!$B$63</definedName>
    <definedName name="Power6">#REF!</definedName>
    <definedName name="Power7" localSheetId="0">'1999 Triumph Daytona 955'!$B$64</definedName>
    <definedName name="Power7">#REF!</definedName>
    <definedName name="Power8" localSheetId="0">'1999 Triumph Daytona 955'!$B$65</definedName>
    <definedName name="Power8">#REF!</definedName>
    <definedName name="Power9" localSheetId="0">'1999 Triumph Daytona 955'!$B$66</definedName>
    <definedName name="Power9">#REF!</definedName>
    <definedName name="PowerRpmMax" localSheetId="0">'1999 Triumph Daytona 955'!$B$69</definedName>
    <definedName name="PowerRpmMax">#REF!</definedName>
    <definedName name="r_wheel" localSheetId="0">'1999 Triumph Daytona 955'!$B$45</definedName>
    <definedName name="r_wheel">#REF!</definedName>
    <definedName name="Ratio1" localSheetId="0">'1999 Triumph Daytona 955'!$D$31</definedName>
    <definedName name="Ratio1">#REF!</definedName>
    <definedName name="Ratio2" localSheetId="0">'1999 Triumph Daytona 955'!$D$32</definedName>
    <definedName name="Ratio2">#REF!</definedName>
    <definedName name="Ratio3" localSheetId="0">'1999 Triumph Daytona 955'!$D$33</definedName>
    <definedName name="Ratio3">#REF!</definedName>
    <definedName name="Ratio4" localSheetId="0">'1999 Triumph Daytona 955'!$D$34</definedName>
    <definedName name="Ratio4">#REF!</definedName>
    <definedName name="Ratio5" localSheetId="0">'1999 Triumph Daytona 955'!$D$35</definedName>
    <definedName name="Ratio5">#REF!</definedName>
    <definedName name="Ratio6" localSheetId="0">'1999 Triumph Daytona 955'!$D$36</definedName>
    <definedName name="Ratio6">#REF!</definedName>
    <definedName name="rpm1" localSheetId="0">'1999 Triumph Daytona 955'!$C$5</definedName>
    <definedName name="rpm1">#REF!</definedName>
    <definedName name="rpm10" localSheetId="0">'1999 Triumph Daytona 955'!$C$14</definedName>
    <definedName name="rpm10">#REF!</definedName>
    <definedName name="rpm11" localSheetId="0">'1999 Triumph Daytona 955'!$C$15</definedName>
    <definedName name="rpm11">#REF!</definedName>
    <definedName name="rpm2" localSheetId="0">'1999 Triumph Daytona 955'!$C$6</definedName>
    <definedName name="rpm2">#REF!</definedName>
    <definedName name="rpm3" localSheetId="0">'1999 Triumph Daytona 955'!$C$7</definedName>
    <definedName name="rpm3">#REF!</definedName>
    <definedName name="rpm4" localSheetId="0">'1999 Triumph Daytona 955'!$C$8</definedName>
    <definedName name="rpm4">#REF!</definedName>
    <definedName name="rpm5" localSheetId="0">'1999 Triumph Daytona 955'!$C$9</definedName>
    <definedName name="rpm5">#REF!</definedName>
    <definedName name="rpm6" localSheetId="0">'1999 Triumph Daytona 955'!$C$10</definedName>
    <definedName name="rpm6">#REF!</definedName>
    <definedName name="rpm7" localSheetId="0">'1999 Triumph Daytona 955'!$C$11</definedName>
    <definedName name="rpm7">#REF!</definedName>
    <definedName name="rpm8" localSheetId="0">'1999 Triumph Daytona 955'!$C$12</definedName>
    <definedName name="rpm8">#REF!</definedName>
    <definedName name="rpm9" localSheetId="0">'1999 Triumph Daytona 955'!$C$13</definedName>
    <definedName name="rpm9">#REF!</definedName>
    <definedName name="rpmMax" localSheetId="0">'1999 Triumph Daytona 955'!$C$16</definedName>
    <definedName name="rpmMax">#REF!</definedName>
    <definedName name="Torque1" localSheetId="0">'1999 Triumph Daytona 955'!$C$58</definedName>
    <definedName name="Torque1">#REF!</definedName>
    <definedName name="Torque10" localSheetId="0">'1999 Triumph Daytona 955'!$C$67</definedName>
    <definedName name="Torque10">#REF!</definedName>
    <definedName name="Torque11" localSheetId="0">'1999 Triumph Daytona 955'!$C$68</definedName>
    <definedName name="Torque11">#REF!</definedName>
    <definedName name="Torque2" localSheetId="0">'1999 Triumph Daytona 955'!$C$59</definedName>
    <definedName name="Torque2">#REF!</definedName>
    <definedName name="Torque3" localSheetId="0">'1999 Triumph Daytona 955'!$C$60</definedName>
    <definedName name="Torque3">#REF!</definedName>
    <definedName name="Torque4" localSheetId="0">'1999 Triumph Daytona 955'!$C$61</definedName>
    <definedName name="Torque4">#REF!</definedName>
    <definedName name="Torque5" localSheetId="0">'1999 Triumph Daytona 955'!$C$62</definedName>
    <definedName name="Torque5">#REF!</definedName>
    <definedName name="Torque6" localSheetId="0">'1999 Triumph Daytona 955'!$C$63</definedName>
    <definedName name="Torque6">#REF!</definedName>
    <definedName name="Torque7" localSheetId="0">'1999 Triumph Daytona 955'!$C$64</definedName>
    <definedName name="Torque7">#REF!</definedName>
    <definedName name="Torque8" localSheetId="0">'1999 Triumph Daytona 955'!$C$65</definedName>
    <definedName name="Torque8">#REF!</definedName>
    <definedName name="Torque9" localSheetId="0">'1999 Triumph Daytona 955'!$C$66</definedName>
    <definedName name="Torque9">#REF!</definedName>
    <definedName name="TorqueRpmMax" localSheetId="0">'1999 Triumph Daytona 955'!$C$69</definedName>
    <definedName name="TorqueRpmMax">#REF!</definedName>
    <definedName name="V_fork" localSheetId="0">'1999 Triumph Daytona 955'!$B$41</definedName>
    <definedName name="V_fork">#REF!</definedName>
    <definedName name="V_fuel" localSheetId="0">'1999 Triumph Daytona 955'!$B$39</definedName>
    <definedName name="V_fuel">#REF!</definedName>
    <definedName name="V_oil" localSheetId="0">'1999 Triumph Daytona 955'!$B$40</definedName>
    <definedName name="V_oil">#REF!</definedName>
    <definedName name="V_water" localSheetId="0">'1999 Triumph Daytona 955'!$B$42</definedName>
    <definedName name="V_water">#REF!</definedName>
    <definedName name="Vmax_actual" localSheetId="0">'1999 Triumph Daytona 955'!$B$26</definedName>
    <definedName name="Vmax_actual">#REF!</definedName>
    <definedName name="vmax1" localSheetId="0">'1999 Triumph Daytona 955'!$B$52</definedName>
    <definedName name="vmax1">#REF!</definedName>
    <definedName name="vmax2" localSheetId="0">'1999 Triumph Daytona 955'!$C$52</definedName>
    <definedName name="vmax2">#REF!</definedName>
    <definedName name="vmax3" localSheetId="0">'1999 Triumph Daytona 955'!$D$52</definedName>
    <definedName name="vmax3">#REF!</definedName>
    <definedName name="vmax4" localSheetId="0">'1999 Triumph Daytona 955'!$E$52</definedName>
    <definedName name="vmax4">#REF!</definedName>
    <definedName name="vmax5" localSheetId="0">'1999 Triumph Daytona 955'!$F$52</definedName>
    <definedName name="vmax5">#REF!</definedName>
    <definedName name="vmax6" localSheetId="0">'1999 Triumph Daytona 955'!$G$52</definedName>
    <definedName name="vmax6">#REF!</definedName>
    <definedName name="vmax6mps1">#REF!</definedName>
    <definedName name="vmax6mps3" localSheetId="0">'1999 Triumph Daytona 955'!$B$46</definedName>
    <definedName name="vmax6mps3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<sst xmlns="http://schemas.openxmlformats.org/spreadsheetml/2006/main" count="158" uniqueCount="126">
  <si>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</si>
  <si>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</si>
  <si>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</si>
  <si>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</si>
  <si>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</si>
  <si>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</si>
  <si>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</si>
  <si>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</si>
  <si>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</si>
  <si>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</si>
  <si>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</si>
  <si>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</si>
  <si>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</si>
  <si>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</si>
  <si>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</si>
  <si>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</si>
  <si>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</si>
  <si>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</si>
  <si>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</si>
  <si>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</si>
  <si>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</si>
  <si>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</si>
  <si>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</si>
  <si>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</si>
  <si>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</si>
  <si>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</si>
  <si>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</si>
  <si>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</si>
  <si>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</si>
  <si>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</si>
  <si>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</si>
  <si>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</si>
  <si>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</si>
  <si>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</si>
  <si>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</si>
  <si>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</si>
  <si>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</si>
  <si>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</si>
  <si>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</si>
  <si>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</si>
  <si>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</si>
  <si>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</si>
  <si>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</si>
  <si>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</si>
  <si>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</si>
  <si>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</si>
  <si>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</si>
  <si>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</si>
  <si>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</si>
  <si>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</si>
  <si>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</si>
  <si>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</si>
  <si>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</si>
  <si>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</si>
  <si>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</si>
  <si>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</si>
  <si>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</si>
  <si>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</si>
  <si>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</si>
  <si>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</si>
  <si>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</si>
  <si>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</si>
  <si>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</si>
  <si>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</si>
  <si>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</si>
  <si>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</si>
  <si>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</si>
  <si>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</si>
  <si>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</si>
  <si>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</si>
  <si>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</si>
  <si>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</si>
  <si>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</si>
  <si>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</si>
  <si>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</si>
  <si>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</si>
  <si>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</si>
  <si>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</si>
  <si>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</si>
  <si>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</si>
  <si>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</si>
  <si>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</si>
  <si>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</si>
  <si>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</si>
  <si>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</si>
  <si>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</si>
  <si>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</si>
  <si>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</si>
  <si>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</si>
  <si>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</si>
  <si>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</si>
  <si>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</si>
  <si>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</si>
  <si>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</si>
  <si>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</si>
  <si>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</si>
  <si>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</si>
  <si>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</si>
  <si>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</si>
  <si>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</si>
  <si>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</si>
  <si>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</si>
  <si>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</si>
  <si>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</si>
  <si>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</si>
  <si>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</si>
  <si>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</si>
  <si>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lit   (21 max)</t>
  </si>
  <si>
    <t>P net</t>
  </si>
  <si>
    <t>gearchange</t>
  </si>
  <si>
    <t>Bike Magazine Jan 1999 &amp; Triumph (ST) Service Manual issue 1 1998/12 &amp; Triumph web site 2000</t>
  </si>
  <si>
    <t>Bike Jan 1999</t>
  </si>
  <si>
    <t>Graph Data</t>
  </si>
  <si>
    <t>mm</t>
  </si>
  <si>
    <t>bhp@wheel</t>
  </si>
  <si>
    <t>kw@wheel</t>
  </si>
  <si>
    <t>bhp@crank</t>
  </si>
  <si>
    <t>kw@crank</t>
  </si>
  <si>
    <t>mm@100bhp</t>
  </si>
  <si>
    <t>stated efficiency</t>
  </si>
  <si>
    <t>^^^^</t>
  </si>
  <si>
    <t>Assumed crank data</t>
  </si>
  <si>
    <t>see READ ME</t>
  </si>
  <si>
    <t>Magazine measurements</t>
  </si>
  <si>
    <t>Bike Magazine Jan 1999 = 11.3s/125mph</t>
  </si>
  <si>
    <t>1999 Triumph Daytona 955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</si>
</sst>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3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39" applyNumberFormat="1" applyFill="1" applyBorder="1" applyAlignment="1">
      <alignment/>
    </xf>
    <xf numFmtId="49" fontId="0" fillId="0" borderId="0" xfId="3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3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0" fillId="0" borderId="0" xfId="0" applyFont="1" applyFill="1" applyAlignment="1">
      <alignment/>
    </xf>
    <xf numFmtId="189" fontId="0" fillId="0" borderId="9" xfId="39" applyNumberFormat="1" applyFont="1" applyFill="1" applyBorder="1" applyAlignment="1">
      <alignment/>
    </xf>
    <xf numFmtId="2" fontId="1" fillId="6" borderId="10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omma [0]_Dynamics" xfId="17"/>
    <cellStyle name="Comma [0]_T300.XLS Chart 1" xfId="18"/>
    <cellStyle name="Comma [0]_T300.XLS Chart 2" xfId="19"/>
    <cellStyle name="Comma [0]_T300.XLS Chart 3" xfId="20"/>
    <cellStyle name="Comma_Dynamics" xfId="21"/>
    <cellStyle name="Comma_T300.XLS Chart 1" xfId="22"/>
    <cellStyle name="Comma_T300.XLS Chart 2" xfId="23"/>
    <cellStyle name="Comma_T300.XLS Chart 3" xfId="24"/>
    <cellStyle name="Currency" xfId="25"/>
    <cellStyle name="Currency [0]" xfId="26"/>
    <cellStyle name="Currency [0]_Dynamics" xfId="27"/>
    <cellStyle name="Currency [0]_T300.XLS Chart 1" xfId="28"/>
    <cellStyle name="Currency [0]_T300.XLS Chart 2" xfId="29"/>
    <cellStyle name="Currency [0]_T300.XLS Chart 3" xfId="30"/>
    <cellStyle name="Currency_Dynamics" xfId="31"/>
    <cellStyle name="Currency_T300.XLS Chart 1" xfId="32"/>
    <cellStyle name="Currency_T300.XLS Chart 2" xfId="33"/>
    <cellStyle name="Currency_T300.XLS Chart 3" xfId="34"/>
    <cellStyle name="Normal_Dynamics" xfId="35"/>
    <cellStyle name="Normal_T300.XLS Chart 1" xfId="36"/>
    <cellStyle name="Normal_T300.XLS Chart 2" xfId="37"/>
    <cellStyle name="Normal_T300.XLS Chart 3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955'!$A$62:$A$69</c:f>
              <c:numCache/>
            </c:numRef>
          </c:xVal>
          <c:yVal>
            <c:numRef>
              <c:f>'1999 Triumph Daytona 955'!$B$62:$B$69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955'!$A$62:$A$69</c:f>
              <c:numCache/>
            </c:numRef>
          </c:xVal>
          <c:yVal>
            <c:numRef>
              <c:f>'1999 Triumph Daytona 955'!$C$62:$C$69</c:f>
              <c:numCache/>
            </c:numRef>
          </c:yVal>
          <c:smooth val="1"/>
        </c:ser>
        <c:axId val="42316703"/>
        <c:axId val="45306008"/>
      </c:scatterChart>
      <c:valAx>
        <c:axId val="4231670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306008"/>
        <c:crosses val="autoZero"/>
        <c:crossBetween val="midCat"/>
        <c:dispUnits/>
        <c:majorUnit val="1"/>
      </c:valAx>
      <c:valAx>
        <c:axId val="45306008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31670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955'!$A$51:$A$52</c:f>
              <c:numCache/>
            </c:numRef>
          </c:xVal>
          <c:yVal>
            <c:numRef>
              <c:f>'1999 Triumph Daytona 955'!$G$51:$G$52</c:f>
              <c:numCache/>
            </c:numRef>
          </c:yVal>
          <c:smooth val="1"/>
        </c:ser>
        <c:axId val="5100889"/>
        <c:axId val="45908002"/>
      </c:scatterChart>
      <c:valAx>
        <c:axId val="5100889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908002"/>
        <c:crosses val="autoZero"/>
        <c:crossBetween val="midCat"/>
        <c:dispUnits/>
        <c:majorUnit val="1"/>
      </c:valAx>
      <c:valAx>
        <c:axId val="4590800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00889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955'!$B$76:$B$87</c:f>
              <c:numCache/>
            </c:numRef>
          </c:xVal>
          <c:yVal>
            <c:numRef>
              <c:f>'1999 Triumph Daytona 955'!$C$76:$C$87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955'!$D$76:$D$87</c:f>
              <c:numCache/>
            </c:numRef>
          </c:xVal>
          <c:yVal>
            <c:numRef>
              <c:f>'1999 Triumph Daytona 955'!$E$76:$E$87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955'!$F$76:$F$87</c:f>
              <c:numCache/>
            </c:numRef>
          </c:xVal>
          <c:yVal>
            <c:numRef>
              <c:f>'1999 Triumph Daytona 955'!$G$76:$G$87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955'!$H$76:$H$87</c:f>
              <c:numCache/>
            </c:numRef>
          </c:xVal>
          <c:yVal>
            <c:numRef>
              <c:f>'1999 Triumph Daytona 955'!$I$76:$I$87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955'!$J$75:$J$87</c:f>
              <c:numCache/>
            </c:numRef>
          </c:xVal>
          <c:yVal>
            <c:numRef>
              <c:f>'1999 Triumph Daytona 955'!$K$75:$K$87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955'!$L$76:$L$87</c:f>
              <c:numCache/>
            </c:numRef>
          </c:xVal>
          <c:yVal>
            <c:numRef>
              <c:f>'1999 Triumph Daytona 955'!$M$76:$M$87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955'!$A$91:$A$103</c:f>
              <c:numCache/>
            </c:numRef>
          </c:xVal>
          <c:yVal>
            <c:numRef>
              <c:f>'1999 Triumph Daytona 955'!$D$91:$D$103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955'!$B$107:$B$108</c:f>
              <c:numCache/>
            </c:numRef>
          </c:xVal>
          <c:yVal>
            <c:numRef>
              <c:f>'1999 Triumph Daytona 955'!$A$107:$A$108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955'!$A$94:$A$103</c:f>
              <c:numCache/>
            </c:numRef>
          </c:xVal>
          <c:yVal>
            <c:numRef>
              <c:f>'1999 Triumph Daytona 955'!$F$94:$F$103</c:f>
              <c:numCache/>
            </c:numRef>
          </c:yVal>
          <c:smooth val="1"/>
        </c:ser>
        <c:axId val="10518835"/>
        <c:axId val="27560652"/>
      </c:scatterChart>
      <c:valAx>
        <c:axId val="10518835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60652"/>
        <c:crosses val="autoZero"/>
        <c:crossBetween val="midCat"/>
        <c:dispUnits/>
      </c:valAx>
      <c:valAx>
        <c:axId val="2756065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8835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955'!$I$112:$I$132</c:f>
              <c:numCache/>
            </c:numRef>
          </c:xVal>
          <c:yVal>
            <c:numRef>
              <c:f>'1999 Triumph Daytona 955'!$A$112:$A$132</c:f>
              <c:numCache/>
            </c:numRef>
          </c:yVal>
          <c:smooth val="1"/>
        </c:ser>
        <c:axId val="46719277"/>
        <c:axId val="17820310"/>
      </c:scatterChart>
      <c:valAx>
        <c:axId val="4671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crossBetween val="midCat"/>
        <c:dispUnits/>
      </c:valAx>
      <c:valAx>
        <c:axId val="1782031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71927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Triumph Daytona 955'!$A$112:$A$137</c:f>
              <c:numCache/>
            </c:numRef>
          </c:xVal>
          <c:yVal>
            <c:numRef>
              <c:f>'1999 Triumph Daytona 955'!$F$112:$F$137</c:f>
              <c:numCache/>
            </c:numRef>
          </c:yVal>
          <c:smooth val="1"/>
        </c:ser>
        <c:axId val="26165063"/>
        <c:axId val="34158976"/>
      </c:scatterChart>
      <c:val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crossBetween val="midCat"/>
        <c:dispUnits/>
      </c:valAx>
      <c:valAx>
        <c:axId val="341589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165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Daytona 955'!$D$61:$D$69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Daytona 955'!$E$61:$E$69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Triumph Daytona 955'!$F$61:$F$69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Daytona 955'!$G$61:$G$69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Triumph Daytona 955'!$H$61:$H$69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Triumph Daytona 955'!$I$61:$I$69</c:f>
              <c:numCache/>
            </c:numRef>
          </c:xVal>
          <c:yVal>
            <c:numRef>
              <c:f>'1999 Triumph Daytona 955'!$B$61:$B$69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955'!$B$107:$B$108</c:f>
              <c:numCache/>
            </c:numRef>
          </c:xVal>
          <c:yVal>
            <c:numRef>
              <c:f>'1999 Triumph Daytona 955'!$C$107:$C$108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Triumph Daytona 955'!$A$91:$A$103</c:f>
              <c:numCache/>
            </c:numRef>
          </c:xVal>
          <c:yVal>
            <c:numRef>
              <c:f>'1999 Triumph Daytona 955'!$K$91:$K$103</c:f>
              <c:numCache/>
            </c:numRef>
          </c:yVal>
          <c:smooth val="1"/>
        </c:ser>
        <c:axId val="38995329"/>
        <c:axId val="15413642"/>
      </c:scatterChart>
      <c:valAx>
        <c:axId val="3899532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13642"/>
        <c:crosses val="autoZero"/>
        <c:crossBetween val="midCat"/>
        <c:dispUnits/>
        <c:majorUnit val="50"/>
      </c:val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95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125</v>
      </c>
      <c r="D1" s="4" t="s">
        <v>100</v>
      </c>
      <c r="E1" s="5" t="s">
        <v>110</v>
      </c>
    </row>
    <row r="2" ht="12.75">
      <c r="A2" s="12" t="s">
        <v>99</v>
      </c>
    </row>
    <row r="3" spans="1:13" ht="13.5" thickBot="1">
      <c r="A3" s="4" t="s">
        <v>79</v>
      </c>
      <c r="D3" s="127"/>
      <c r="E3" s="59" t="s">
        <v>69</v>
      </c>
      <c r="F3" s="58"/>
      <c r="G3" s="58"/>
      <c r="H3" s="58"/>
      <c r="I3" s="58"/>
      <c r="J3" s="58"/>
      <c r="K3" s="59" t="s">
        <v>93</v>
      </c>
      <c r="L3" s="64"/>
      <c r="M3" s="60"/>
    </row>
    <row r="4" spans="1:13" ht="12.75">
      <c r="A4" s="38"/>
      <c r="B4" s="34" t="s">
        <v>13</v>
      </c>
      <c r="C4" s="33" t="s">
        <v>2</v>
      </c>
      <c r="D4" s="36" t="s">
        <v>74</v>
      </c>
      <c r="E4" s="61">
        <v>60</v>
      </c>
      <c r="F4" s="24" t="s">
        <v>18</v>
      </c>
      <c r="G4" s="128">
        <f>(a_ref1*1.609-INDEX($A$112:$I$137,MATCH(a_ref1*1.609,$A$112:$A$137,1),1))/(INDEX($A$112:$I$137,MATCH(a_ref1*1.609,$A$112:$A$137,1)+1,1)-INDEX($A$112:$I$137,MATCH(a_ref1*1.609,$A$112:$A$137,1),1))*(INDEX($A$112:$I$137,MATCH(a_ref1*1.609,$A$112:$A$137,1)+1,9)-INDEX($A$112:$I$137,MATCH(a_ref1*1.609,$A$112:$A$137,1),9))+INDEX($A$112:$I$137,MATCH(a_ref1*1.609,$A$112:$A$137,1),9)</f>
        <v>2.8631998804057117</v>
      </c>
      <c r="H4" s="61" t="s">
        <v>4</v>
      </c>
      <c r="I4" s="24"/>
      <c r="J4" s="24"/>
      <c r="K4" s="24" t="s">
        <v>2</v>
      </c>
      <c r="L4" s="129">
        <f>krpm10/krpm8</f>
        <v>1.2857142857142858</v>
      </c>
      <c r="M4" s="72"/>
    </row>
    <row r="5" spans="1:13" ht="12.75">
      <c r="A5" s="16" t="s">
        <v>58</v>
      </c>
      <c r="B5" s="17"/>
      <c r="C5" s="39"/>
      <c r="D5" s="36" t="s">
        <v>74</v>
      </c>
      <c r="E5" s="61">
        <v>100</v>
      </c>
      <c r="F5" s="24" t="s">
        <v>18</v>
      </c>
      <c r="G5" s="128">
        <f>(a_ref2*1.609-INDEX($A$112:$I$137,MATCH(a_ref2*1.609,$A$112:$A$137,1),1))/(INDEX($A$112:$I$137,MATCH(a_ref2*1.609,$A$112:$A$137,1)+1,1)-INDEX($A$112:$I$137,MATCH(a_ref2*1.609,$A$112:$A$137,1),1))*(INDEX($A$112:$I$137,MATCH(a_ref2*1.609,$A$112:$A$137,1)+1,9)-INDEX($A$112:$I$137,MATCH(a_ref2*1.609,$A$112:$A$137,1),9))+INDEX($A$112:$I$137,MATCH(a_ref2*1.609,$A$112:$A$137,1),9)</f>
        <v>6.772850332311907</v>
      </c>
      <c r="H5" s="61" t="s">
        <v>4</v>
      </c>
      <c r="I5" s="24"/>
      <c r="J5" s="24"/>
      <c r="K5" s="24" t="s">
        <v>91</v>
      </c>
      <c r="L5" s="129">
        <f>Torque8/Torque10</f>
        <v>1.1065573770491803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$137,MATCH(402.336,$L$112:$L$137,1),12))/(INDEX($A$112:$L$137,MATCH(402.336,$L$112:$L$137,1)+1,12)-INDEX($A$112:$L$137,MATCH(402.336,$L$112:$L$137,1),12))*(INDEX($A$112:$L$137,MATCH(402.336,$L$112:$L$137,1)+1,9)-INDEX($A$112:$L$137,MATCH(402.336,$L$112:$L$137,1),9))+INDEX($A$112:$L$137,MATCH(402.336,$L$112:$L$137,1),9)</f>
        <v>11.05488093634161</v>
      </c>
      <c r="H6" s="61" t="s">
        <v>68</v>
      </c>
      <c r="I6" s="131">
        <f>((402.336-INDEX($A$112:$L$137,MATCH(402.336,$L$112:$L$137,1),12))/(INDEX($A$112:$L$137,MATCH(402.336,$L$112:$L$137,1)+1,12)-INDEX($A$112:$L$137,MATCH(402.336,$L$112:$L$137,1),12))*(INDEX($A$112:$L$137,MATCH(402.336,$L$112:$L$137,1)+1,1)-INDEX($A$112:$L$137,MATCH(402.336,$L$112:$L$137,1),1))+INDEX($A$112:$L$137,MATCH(402.336,$L$112:$L$137,1),1))/1.609</f>
        <v>123.55136309544233</v>
      </c>
      <c r="J6" s="61" t="s">
        <v>18</v>
      </c>
      <c r="K6" s="61" t="s">
        <v>92</v>
      </c>
      <c r="L6" s="157">
        <f>L4*L5</f>
        <v>1.4227166276346606</v>
      </c>
      <c r="M6" s="72"/>
    </row>
    <row r="7" spans="1:19" ht="12.75">
      <c r="A7" s="16" t="s">
        <v>60</v>
      </c>
      <c r="B7" s="17"/>
      <c r="C7" s="39"/>
      <c r="D7" s="107"/>
      <c r="E7" s="8" t="s">
        <v>124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>
        <v>35.18867924528302</v>
      </c>
      <c r="C8" s="39">
        <v>3600</v>
      </c>
      <c r="D8" s="24"/>
    </row>
    <row r="9" spans="1:4" ht="12.75">
      <c r="A9" s="16" t="s">
        <v>62</v>
      </c>
      <c r="B9" s="17">
        <v>39.41132075471698</v>
      </c>
      <c r="C9" s="39">
        <v>4000</v>
      </c>
      <c r="D9" s="24"/>
    </row>
    <row r="10" spans="1:4" ht="12.75">
      <c r="A10" s="16" t="s">
        <v>63</v>
      </c>
      <c r="B10" s="17">
        <v>46.449056603773585</v>
      </c>
      <c r="C10" s="39">
        <v>5000</v>
      </c>
      <c r="D10" s="24"/>
    </row>
    <row r="11" spans="1:4" ht="12.75">
      <c r="A11" s="16" t="s">
        <v>64</v>
      </c>
      <c r="B11" s="17">
        <v>57.00566037735849</v>
      </c>
      <c r="C11" s="39">
        <v>6000</v>
      </c>
      <c r="D11" s="24"/>
    </row>
    <row r="12" spans="1:4" ht="12.75">
      <c r="A12" s="16" t="s">
        <v>75</v>
      </c>
      <c r="B12" s="17">
        <v>73.89622641509435</v>
      </c>
      <c r="C12" s="39">
        <v>7000</v>
      </c>
      <c r="D12" s="24"/>
    </row>
    <row r="13" spans="1:4" ht="12.75">
      <c r="A13" s="16" t="s">
        <v>88</v>
      </c>
      <c r="B13" s="17">
        <v>80.93396226415095</v>
      </c>
      <c r="C13" s="39">
        <v>8000</v>
      </c>
      <c r="D13" s="24"/>
    </row>
    <row r="14" spans="1:4" ht="12.75">
      <c r="A14" s="16" t="s">
        <v>89</v>
      </c>
      <c r="B14" s="17">
        <v>85.86037735849057</v>
      </c>
      <c r="C14" s="39">
        <v>9000</v>
      </c>
      <c r="D14" s="24"/>
    </row>
    <row r="15" spans="1:4" ht="12.75">
      <c r="A15" s="16" t="s">
        <v>90</v>
      </c>
      <c r="B15" s="17">
        <v>84.45283018867924</v>
      </c>
      <c r="C15" s="39">
        <v>10000</v>
      </c>
      <c r="D15" s="24"/>
    </row>
    <row r="16" spans="1:4" ht="13.5" thickBot="1">
      <c r="A16" s="19" t="s">
        <v>65</v>
      </c>
      <c r="B16" s="20">
        <v>82.34150943396227</v>
      </c>
      <c r="C16" s="40">
        <v>10400</v>
      </c>
      <c r="D16" s="24" t="s">
        <v>20</v>
      </c>
    </row>
    <row r="17" spans="1:5" ht="12.75">
      <c r="A17" s="115" t="s">
        <v>33</v>
      </c>
      <c r="B17" s="120">
        <v>0.18</v>
      </c>
      <c r="C17" s="15"/>
      <c r="D17" s="15"/>
      <c r="E17" s="13"/>
    </row>
    <row r="18" spans="1:5" ht="12.75">
      <c r="A18" s="16" t="s">
        <v>70</v>
      </c>
      <c r="B18" s="121">
        <v>1</v>
      </c>
      <c r="C18" s="24" t="s">
        <v>66</v>
      </c>
      <c r="D18" s="24"/>
      <c r="E18" s="18"/>
    </row>
    <row r="19" spans="1:5" ht="12.75">
      <c r="A19" s="16" t="s">
        <v>71</v>
      </c>
      <c r="B19" s="121">
        <v>0.25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84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85</v>
      </c>
      <c r="D21" s="24"/>
      <c r="E21" s="18"/>
    </row>
    <row r="22" spans="1:5" ht="12.75">
      <c r="A22" s="16" t="s">
        <v>83</v>
      </c>
      <c r="B22" s="134">
        <v>0.0806</v>
      </c>
      <c r="C22" s="123" t="s">
        <v>86</v>
      </c>
      <c r="D22" s="24"/>
      <c r="E22" s="18"/>
    </row>
    <row r="23" spans="1:5" ht="12.75">
      <c r="A23" s="16" t="s">
        <v>36</v>
      </c>
      <c r="B23" s="116">
        <v>0</v>
      </c>
      <c r="C23" s="24" t="s">
        <v>6</v>
      </c>
      <c r="D23" s="24"/>
      <c r="E23" s="18"/>
    </row>
    <row r="24" spans="1:5" ht="12.75">
      <c r="A24" s="16" t="s">
        <v>22</v>
      </c>
      <c r="B24" s="116">
        <v>90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72</v>
      </c>
      <c r="D25" s="116">
        <v>8425</v>
      </c>
      <c r="E25" s="18" t="s">
        <v>2</v>
      </c>
    </row>
    <row r="26" spans="1:5" ht="13.5" thickBot="1">
      <c r="A26" s="19" t="s">
        <v>76</v>
      </c>
      <c r="B26" s="124">
        <v>263.9</v>
      </c>
      <c r="C26" s="125" t="s">
        <v>77</v>
      </c>
      <c r="D26" s="126">
        <f>Vmax_actual/1.609</f>
        <v>164.0149160969546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105</v>
      </c>
      <c r="C30" s="41">
        <v>60</v>
      </c>
      <c r="D30" s="18"/>
    </row>
    <row r="31" spans="1:4" ht="12.75">
      <c r="A31" s="22" t="s">
        <v>26</v>
      </c>
      <c r="B31" s="41">
        <v>41</v>
      </c>
      <c r="C31" s="41">
        <v>15</v>
      </c>
      <c r="D31" s="31">
        <f>Crown_p/Pinion_p*Crown_1/Pinion_1*Crown_f/Pinion_f</f>
        <v>10.825438596491228</v>
      </c>
    </row>
    <row r="32" spans="1:4" ht="12.75">
      <c r="A32" s="22" t="s">
        <v>27</v>
      </c>
      <c r="B32" s="41">
        <v>37</v>
      </c>
      <c r="C32" s="41">
        <v>19</v>
      </c>
      <c r="D32" s="31">
        <f>Crown_p/Pinion_p*Crown_2/Pinion_2*Crown_f/Pinion_f</f>
        <v>7.712603878116343</v>
      </c>
    </row>
    <row r="33" spans="1:4" ht="12.75">
      <c r="A33" s="22" t="s">
        <v>28</v>
      </c>
      <c r="B33" s="41">
        <v>34</v>
      </c>
      <c r="C33" s="41">
        <v>22</v>
      </c>
      <c r="D33" s="31">
        <f>Crown_p/Pinion_p*Crown_3/Pinion_3*Crown_f/Pinion_f</f>
        <v>6.1208133971291865</v>
      </c>
    </row>
    <row r="34" spans="1:4" ht="12.75">
      <c r="A34" s="22" t="s">
        <v>29</v>
      </c>
      <c r="B34" s="41">
        <v>31</v>
      </c>
      <c r="C34" s="41">
        <v>24</v>
      </c>
      <c r="D34" s="31">
        <f>Crown_p/Pinion_p*Crown_4/Pinion_4*Crown_f/Pinion_f</f>
        <v>5.115679824561403</v>
      </c>
    </row>
    <row r="35" spans="1:4" ht="12.75">
      <c r="A35" s="22" t="s">
        <v>30</v>
      </c>
      <c r="B35" s="41">
        <v>30</v>
      </c>
      <c r="C35" s="41">
        <v>26</v>
      </c>
      <c r="D35" s="31">
        <f>Crown_p/Pinion_p*Crown_5/Pinion_5*Crown_f/Pinion_f</f>
        <v>4.569838056680162</v>
      </c>
    </row>
    <row r="36" spans="1:4" ht="12.75">
      <c r="A36" s="22" t="s">
        <v>31</v>
      </c>
      <c r="B36" s="41">
        <v>29</v>
      </c>
      <c r="C36" s="41">
        <v>27</v>
      </c>
      <c r="D36" s="31">
        <f>Crown_p/Pinion_p*Crown_6/Pinion_6*Crown_f/Pinion_f</f>
        <v>4.253898635477583</v>
      </c>
    </row>
    <row r="37" spans="1:4" ht="13.5" thickBot="1">
      <c r="A37" s="23" t="s">
        <v>32</v>
      </c>
      <c r="B37" s="42">
        <v>43</v>
      </c>
      <c r="C37" s="42">
        <v>19</v>
      </c>
      <c r="D37" s="21"/>
    </row>
    <row r="38" spans="1:3" ht="12.75">
      <c r="A38" s="115" t="s">
        <v>21</v>
      </c>
      <c r="B38" s="135">
        <v>198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107</v>
      </c>
    </row>
    <row r="40" spans="1:3" ht="12.75">
      <c r="A40" s="16" t="s">
        <v>56</v>
      </c>
      <c r="B40" s="139">
        <v>4</v>
      </c>
      <c r="C40" s="138" t="s">
        <v>37</v>
      </c>
    </row>
    <row r="41" spans="1:3" ht="12.75">
      <c r="A41" s="16" t="s">
        <v>57</v>
      </c>
      <c r="B41" s="139">
        <v>0.918</v>
      </c>
      <c r="C41" s="138" t="s">
        <v>37</v>
      </c>
    </row>
    <row r="42" spans="1:3" ht="12.75">
      <c r="A42" s="16" t="s">
        <v>35</v>
      </c>
      <c r="B42" s="140">
        <v>2.8</v>
      </c>
      <c r="C42" s="138" t="s">
        <v>37</v>
      </c>
    </row>
    <row r="43" spans="1:3" ht="12.75">
      <c r="A43" s="16" t="s">
        <v>38</v>
      </c>
      <c r="B43" s="91">
        <f>SUM(M_bike,V_fuel*0.7,(V_oil+V_fork)*0.9,V_water,M_accessories,M_rider)</f>
        <v>302.2262</v>
      </c>
      <c r="C43" s="138" t="s">
        <v>6</v>
      </c>
    </row>
    <row r="44" spans="1:3" ht="12.75">
      <c r="A44" s="16" t="s">
        <v>82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0.31072349534632093</v>
      </c>
      <c r="C45" s="18" t="s">
        <v>80</v>
      </c>
    </row>
    <row r="46" spans="1:3" ht="12.75">
      <c r="A46" s="16" t="s">
        <v>45</v>
      </c>
      <c r="B46" s="89">
        <f>vmax6*1000/3600</f>
        <v>79.55159907682163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10.4</v>
      </c>
      <c r="B52" s="56">
        <f>vmax6*Ratio6/Ratio1</f>
        <v>112.53640845013793</v>
      </c>
      <c r="C52" s="56">
        <f>vmax6*Ratio6/Ratio2</f>
        <v>157.95650843722063</v>
      </c>
      <c r="D52" s="56">
        <f>vmax6*Ratio6/Ratio3</f>
        <v>199.03498121965572</v>
      </c>
      <c r="E52" s="56">
        <f>vmax6*Ratio6/Ratio4</f>
        <v>238.14156110738867</v>
      </c>
      <c r="F52" s="56">
        <f>vmax6*Ratio6/Ratio5</f>
        <v>266.58624757299344</v>
      </c>
      <c r="G52" s="56">
        <f>rpmMax/Gearing_rpm*Gearing_v</f>
        <v>286.3857566765579</v>
      </c>
      <c r="H52" s="57" t="s">
        <v>1</v>
      </c>
      <c r="N52" s="32"/>
    </row>
    <row r="53" ht="12.75"/>
    <row r="54" spans="2:9" ht="12.75">
      <c r="B54" s="46" t="s">
        <v>81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106</v>
      </c>
      <c r="C55" s="52" t="s">
        <v>8</v>
      </c>
      <c r="D55" s="47"/>
      <c r="E55" s="58"/>
      <c r="F55" s="47" t="s">
        <v>101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3.6</v>
      </c>
      <c r="B61" s="111">
        <f>cPower4</f>
        <v>35.18867924528302</v>
      </c>
      <c r="C61" s="112">
        <f>Power4/(krpm4*1000/60*2*PI())*1000</f>
        <v>93.34087071269963</v>
      </c>
      <c r="D61" s="37">
        <f>krpm4/krpmMax*vmax1</f>
        <v>38.95491061735544</v>
      </c>
      <c r="E61" s="37">
        <f>krpm4/krpmMax*vmax2</f>
        <v>54.67725292057637</v>
      </c>
      <c r="F61" s="37">
        <f>krpm4/krpmMax*vmax3</f>
        <v>68.89672426834237</v>
      </c>
      <c r="G61" s="37">
        <f>krpm4/krpmMax*vmax4</f>
        <v>82.43361730640376</v>
      </c>
      <c r="H61" s="37">
        <f>krpm4/krpmMax*vmax5</f>
        <v>92.27985492911311</v>
      </c>
      <c r="I61" s="44">
        <f>krpm4/krpmMax*vmax6</f>
        <v>99.13353115727004</v>
      </c>
      <c r="J61" s="25"/>
    </row>
    <row r="62" spans="1:10" ht="12.75">
      <c r="A62" s="11">
        <f>rpm5/1000</f>
        <v>4</v>
      </c>
      <c r="B62" s="111">
        <f>cPower5</f>
        <v>39.41132075471698</v>
      </c>
      <c r="C62" s="112">
        <f>Power5/(krpm5*1000/60*2*PI())*1000</f>
        <v>94.08759767840122</v>
      </c>
      <c r="D62" s="37">
        <f>krpm5/krpmMax*vmax1</f>
        <v>43.28323401928382</v>
      </c>
      <c r="E62" s="37">
        <f>krpm5/krpmMax*vmax2</f>
        <v>60.75250324508485</v>
      </c>
      <c r="F62" s="37">
        <f>krpm5/krpmMax*vmax3</f>
        <v>76.55191585371374</v>
      </c>
      <c r="G62" s="37">
        <f>krpm5/krpmMax*vmax4</f>
        <v>91.5929081182264</v>
      </c>
      <c r="H62" s="37">
        <f>krpm5/krpmMax*vmax5</f>
        <v>102.53317214345901</v>
      </c>
      <c r="I62" s="44">
        <f>krpm5/krpmMax*vmax6</f>
        <v>110.14836795252225</v>
      </c>
      <c r="J62" s="25"/>
    </row>
    <row r="63" spans="1:10" ht="12.75">
      <c r="A63" s="11">
        <f>rpm6/1000</f>
        <v>5</v>
      </c>
      <c r="B63" s="111">
        <f>cPower6</f>
        <v>46.449056603773585</v>
      </c>
      <c r="C63" s="112">
        <f>Power6/(krpm6*1000/60*2*PI())*1000</f>
        <v>88.71116352534972</v>
      </c>
      <c r="D63" s="37">
        <f>krpm6/krpmMax*vmax1</f>
        <v>54.10404252410477</v>
      </c>
      <c r="E63" s="37">
        <f>krpm6/krpmMax*vmax2</f>
        <v>75.94062905635607</v>
      </c>
      <c r="F63" s="37">
        <f>krpm6/krpmMax*vmax3</f>
        <v>95.68989481714216</v>
      </c>
      <c r="G63" s="37">
        <f>krpm6/krpmMax*vmax4</f>
        <v>114.491135147783</v>
      </c>
      <c r="H63" s="37">
        <f>krpm6/krpmMax*vmax5</f>
        <v>128.16646517932375</v>
      </c>
      <c r="I63" s="44">
        <f>krpm6/krpmMax*vmax6</f>
        <v>137.6854599406528</v>
      </c>
      <c r="J63" s="25"/>
    </row>
    <row r="64" spans="1:10" ht="12.75">
      <c r="A64" s="11">
        <f>rpm7/1000</f>
        <v>6</v>
      </c>
      <c r="B64" s="111">
        <f>cPower7</f>
        <v>57.00566037735849</v>
      </c>
      <c r="C64" s="112">
        <f>Power7/(krpm7*1000/60*2*PI())*1000</f>
        <v>90.72732633274403</v>
      </c>
      <c r="D64" s="37">
        <f>krpm7/krpmMax*vmax1</f>
        <v>64.92485102892572</v>
      </c>
      <c r="E64" s="37">
        <f>krpm7/krpmMax*vmax2</f>
        <v>91.12875486762728</v>
      </c>
      <c r="F64" s="37">
        <f>krpm7/krpmMax*vmax3</f>
        <v>114.8278737805706</v>
      </c>
      <c r="G64" s="37">
        <f>krpm7/krpmMax*vmax4</f>
        <v>137.3893621773396</v>
      </c>
      <c r="H64" s="37">
        <f>krpm7/krpmMax*vmax5</f>
        <v>153.79975821518852</v>
      </c>
      <c r="I64" s="44">
        <f>krpm7/krpmMax*vmax6</f>
        <v>165.2225519287834</v>
      </c>
      <c r="J64" s="25"/>
    </row>
    <row r="65" spans="1:10" ht="12.75">
      <c r="A65" s="11">
        <f>rpm8/1000</f>
        <v>7</v>
      </c>
      <c r="B65" s="111">
        <f>cPower8</f>
        <v>73.89622641509435</v>
      </c>
      <c r="C65" s="112">
        <f>Power8/(krpm8*1000/60*2*PI())*1000</f>
        <v>100.8081403697156</v>
      </c>
      <c r="D65" s="37">
        <f>krpm8/krpmMax*vmax1</f>
        <v>75.74565953374668</v>
      </c>
      <c r="E65" s="37">
        <f>krpm8/krpmMax*vmax2</f>
        <v>106.3168806788985</v>
      </c>
      <c r="F65" s="37">
        <f>krpm8/krpmMax*vmax3</f>
        <v>133.96585274399902</v>
      </c>
      <c r="G65" s="37">
        <f>krpm8/krpmMax*vmax4</f>
        <v>160.2875892068962</v>
      </c>
      <c r="H65" s="37">
        <f>krpm8/krpmMax*vmax5</f>
        <v>179.43305125105326</v>
      </c>
      <c r="I65" s="44">
        <f>krpm8/krpmMax*vmax6</f>
        <v>192.75964391691394</v>
      </c>
      <c r="J65" s="25"/>
    </row>
    <row r="66" spans="1:10" ht="12.75">
      <c r="A66" s="11">
        <f>rpm9/1000</f>
        <v>8</v>
      </c>
      <c r="B66" s="111">
        <f>cPower9</f>
        <v>80.93396226415095</v>
      </c>
      <c r="C66" s="112">
        <f>Power9/(krpm9*1000/60*2*PI())*1000</f>
        <v>96.60780118764411</v>
      </c>
      <c r="D66" s="37">
        <f>krpm9/krpmMax*vmax1</f>
        <v>86.56646803856763</v>
      </c>
      <c r="E66" s="37">
        <f>krpm9/krpmMax*vmax2</f>
        <v>121.5050064901697</v>
      </c>
      <c r="F66" s="37">
        <f>krpm9/krpmMax*vmax3</f>
        <v>153.10383170742747</v>
      </c>
      <c r="G66" s="37">
        <f>krpm9/krpmMax*vmax4</f>
        <v>183.1858162364528</v>
      </c>
      <c r="H66" s="37">
        <f>krpm9/krpmMax*vmax5</f>
        <v>205.06634428691802</v>
      </c>
      <c r="I66" s="44">
        <f>krpm9/krpmMax*vmax6</f>
        <v>220.2967359050445</v>
      </c>
      <c r="J66" s="25"/>
    </row>
    <row r="67" spans="1:10" ht="12.75">
      <c r="A67" s="11">
        <f>rpm10/1000</f>
        <v>9</v>
      </c>
      <c r="B67" s="111">
        <f>cPower10</f>
        <v>85.86037735849057</v>
      </c>
      <c r="C67" s="112">
        <f>Power10/(krpm10*1000/60*2*PI())*1000</f>
        <v>91.10068981559483</v>
      </c>
      <c r="D67" s="37">
        <f>krpm10/krpmMax*vmax1</f>
        <v>97.38727654338858</v>
      </c>
      <c r="E67" s="37">
        <f>krpm10/krpmMax*vmax2</f>
        <v>136.69313230144093</v>
      </c>
      <c r="F67" s="37">
        <f>krpm10/krpmMax*vmax3</f>
        <v>172.2418106708559</v>
      </c>
      <c r="G67" s="37">
        <f>krpm10/krpmMax*vmax4</f>
        <v>206.08404326600942</v>
      </c>
      <c r="H67" s="37">
        <f>krpm10/krpmMax*vmax5</f>
        <v>230.69963732278276</v>
      </c>
      <c r="I67" s="44">
        <f>krpm10/krpmMax*vmax6</f>
        <v>247.83382789317508</v>
      </c>
      <c r="J67" s="25"/>
    </row>
    <row r="68" spans="1:10" ht="12.75">
      <c r="A68" s="11">
        <f>rpm11/1000</f>
        <v>10</v>
      </c>
      <c r="B68" s="111">
        <f>cPower11</f>
        <v>84.45283018867924</v>
      </c>
      <c r="C68" s="112">
        <f>Power11/(krpm11*1000/60*2*PI())*1000</f>
        <v>80.64651229577248</v>
      </c>
      <c r="D68" s="37">
        <f>krpm11/krpmMax*vmax1</f>
        <v>108.20808504820954</v>
      </c>
      <c r="E68" s="37">
        <f>krpm11/krpmMax*vmax2</f>
        <v>151.88125811271215</v>
      </c>
      <c r="F68" s="37">
        <f>krpm11/krpmMax*vmax3</f>
        <v>191.37978963428432</v>
      </c>
      <c r="G68" s="37">
        <f>krpm11/krpmMax*vmax4</f>
        <v>228.982270295566</v>
      </c>
      <c r="H68" s="37">
        <f>krpm11/krpmMax*vmax5</f>
        <v>256.3329303586475</v>
      </c>
      <c r="I68" s="44">
        <f>krpm11/krpmMax*vmax6</f>
        <v>275.3709198813056</v>
      </c>
      <c r="J68" s="25"/>
    </row>
    <row r="69" spans="1:10" ht="12.75">
      <c r="A69" s="11">
        <f>rpmMax/1000</f>
        <v>10.4</v>
      </c>
      <c r="B69" s="113">
        <f>cPowerRpmMax</f>
        <v>82.34150943396227</v>
      </c>
      <c r="C69" s="114">
        <f>PowerRpmMax/(krpmMax*1000/60*2*PI())*1000</f>
        <v>75.6061052772867</v>
      </c>
      <c r="D69" s="43">
        <f>vmax1</f>
        <v>112.53640845013793</v>
      </c>
      <c r="E69" s="43">
        <f>vmax2</f>
        <v>157.95650843722063</v>
      </c>
      <c r="F69" s="43">
        <f>vmax3</f>
        <v>199.03498121965572</v>
      </c>
      <c r="G69" s="43">
        <f>vmax4</f>
        <v>238.14156110738867</v>
      </c>
      <c r="H69" s="43">
        <f>vmax5</f>
        <v>266.58624757299344</v>
      </c>
      <c r="I69" s="45">
        <f>vmax6</f>
        <v>286.3857566765579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87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3.6</v>
      </c>
      <c r="B79" s="82">
        <f>krpm4/krpmMax*vmax1</f>
        <v>38.95491061735544</v>
      </c>
      <c r="C79" s="78">
        <f>Torque4*Ratio1*efficiency/r_wheel</f>
        <v>2718.8185240307416</v>
      </c>
      <c r="D79" s="78">
        <f>krpm4/krpmMax*vmax2</f>
        <v>54.67725292057637</v>
      </c>
      <c r="E79" s="78">
        <f>Torque4*Ratio2*efficiency/r_wheel</f>
        <v>1937.027318147704</v>
      </c>
      <c r="F79" s="78">
        <f>krpm4/krpmMax*vmax3</f>
        <v>68.89672426834237</v>
      </c>
      <c r="G79" s="78">
        <f>Torque4*Ratio3*efficiency/r_wheel</f>
        <v>1537.247724230242</v>
      </c>
      <c r="H79" s="78">
        <f>krpm4/krpmMax*vmax4</f>
        <v>82.43361730640376</v>
      </c>
      <c r="I79" s="78">
        <f>Torque4*Ratio4*efficiency/r_wheel</f>
        <v>1284.8075342218444</v>
      </c>
      <c r="J79" s="78">
        <f>krpm4/krpmMax*vmax5</f>
        <v>92.27985492911311</v>
      </c>
      <c r="K79" s="78">
        <f>Torque4*Ratio5*efficiency/r_wheel</f>
        <v>1147.7188891311762</v>
      </c>
      <c r="L79" s="78">
        <f>krpm4/krpmMax*vmax6</f>
        <v>99.13353115727004</v>
      </c>
      <c r="M79" s="78">
        <f>Torque4*Ratio6*efficiency/r_wheel</f>
        <v>1068.3704227221072</v>
      </c>
      <c r="N79" s="24"/>
      <c r="O79" s="72"/>
    </row>
    <row r="80" spans="1:15" ht="12.75">
      <c r="A80" s="50">
        <f>krpm5</f>
        <v>4</v>
      </c>
      <c r="B80" s="82">
        <f>krpm5/krpmMax*vmax1</f>
        <v>43.28323401928382</v>
      </c>
      <c r="C80" s="78">
        <f>Torque5*Ratio1*efficiency/r_wheel</f>
        <v>2740.5690722229874</v>
      </c>
      <c r="D80" s="78">
        <f>krpm5/krpmMax*vmax2</f>
        <v>60.75250324508485</v>
      </c>
      <c r="E80" s="78">
        <f>Torque5*Ratio2*efficiency/r_wheel</f>
        <v>1952.523536692886</v>
      </c>
      <c r="F80" s="78">
        <f>krpm5/krpmMax*vmax3</f>
        <v>76.55191585371374</v>
      </c>
      <c r="G80" s="78">
        <f>Torque5*Ratio3*efficiency/r_wheel</f>
        <v>1549.545706024084</v>
      </c>
      <c r="H80" s="78">
        <f>krpm5/krpmMax*vmax4</f>
        <v>91.5929081182264</v>
      </c>
      <c r="I80" s="78">
        <f>Torque5*Ratio4*efficiency/r_wheel</f>
        <v>1295.0859944956192</v>
      </c>
      <c r="J80" s="78">
        <f>krpm5/krpmMax*vmax5</f>
        <v>102.53317214345901</v>
      </c>
      <c r="K80" s="78">
        <f>Torque5*Ratio5*efficiency/r_wheel</f>
        <v>1156.9006402442253</v>
      </c>
      <c r="L80" s="78">
        <f>krpm5/krpmMax*vmax6</f>
        <v>110.14836795252225</v>
      </c>
      <c r="M80" s="78">
        <f>Torque5*Ratio6*efficiency/r_wheel</f>
        <v>1076.917386103884</v>
      </c>
      <c r="N80" s="24"/>
      <c r="O80" s="72"/>
    </row>
    <row r="81" spans="1:15" ht="12.75">
      <c r="A81" s="50">
        <f>krpm6</f>
        <v>5</v>
      </c>
      <c r="B81" s="82">
        <f>krpm6/krpmMax*vmax1</f>
        <v>54.10404252410477</v>
      </c>
      <c r="C81" s="78">
        <f>Torque6*Ratio1*efficiency/r_wheel</f>
        <v>2583.965125238817</v>
      </c>
      <c r="D81" s="78">
        <f>krpm6/krpmMax*vmax2</f>
        <v>75.94062905635607</v>
      </c>
      <c r="E81" s="78">
        <f>Torque6*Ratio2*efficiency/r_wheel</f>
        <v>1840.950763167578</v>
      </c>
      <c r="F81" s="78">
        <f>krpm6/krpmMax*vmax3</f>
        <v>95.68989481714216</v>
      </c>
      <c r="G81" s="78">
        <f>Torque6*Ratio3*efficiency/r_wheel</f>
        <v>1461.0002371084217</v>
      </c>
      <c r="H81" s="78">
        <f>krpm6/krpmMax*vmax4</f>
        <v>114.491135147783</v>
      </c>
      <c r="I81" s="78">
        <f>Torque6*Ratio4*efficiency/r_wheel</f>
        <v>1221.0810805244407</v>
      </c>
      <c r="J81" s="78">
        <f>krpm6/krpmMax*vmax5</f>
        <v>128.16646517932375</v>
      </c>
      <c r="K81" s="78">
        <f>Torque6*Ratio5*efficiency/r_wheel</f>
        <v>1090.7920322302696</v>
      </c>
      <c r="L81" s="78">
        <f>krpm6/krpmMax*vmax6</f>
        <v>137.6854599406528</v>
      </c>
      <c r="M81" s="78">
        <f>Torque6*Ratio6*efficiency/r_wheel</f>
        <v>1015.3792497550907</v>
      </c>
      <c r="N81" s="24"/>
      <c r="O81" s="72"/>
    </row>
    <row r="82" spans="1:15" ht="12.75">
      <c r="A82" s="50">
        <f>krpm7</f>
        <v>6</v>
      </c>
      <c r="B82" s="82">
        <f>krpm7/krpmMax*vmax1</f>
        <v>64.92485102892572</v>
      </c>
      <c r="C82" s="78">
        <f>Torque7*Ratio1*efficiency/r_wheel</f>
        <v>2642.6916053578807</v>
      </c>
      <c r="D82" s="78">
        <f>krpm7/krpmMax*vmax2</f>
        <v>91.12875486762728</v>
      </c>
      <c r="E82" s="78">
        <f>Torque7*Ratio2*efficiency/r_wheel</f>
        <v>1882.7905532395685</v>
      </c>
      <c r="F82" s="78">
        <f>krpm7/krpmMax*vmax3</f>
        <v>114.8278737805706</v>
      </c>
      <c r="G82" s="78">
        <f>Torque7*Ratio3*efficiency/r_wheel</f>
        <v>1494.2047879517952</v>
      </c>
      <c r="H82" s="78">
        <f>krpm7/krpmMax*vmax4</f>
        <v>137.3893621773396</v>
      </c>
      <c r="I82" s="78">
        <f>Torque7*Ratio4*efficiency/r_wheel</f>
        <v>1248.8329232636324</v>
      </c>
      <c r="J82" s="78">
        <f>krpm7/krpmMax*vmax5</f>
        <v>153.79975821518852</v>
      </c>
      <c r="K82" s="78">
        <f>Torque7*Ratio5*efficiency/r_wheel</f>
        <v>1115.5827602355032</v>
      </c>
      <c r="L82" s="78">
        <f>krpm7/krpmMax*vmax6</f>
        <v>165.2225519287834</v>
      </c>
      <c r="M82" s="78">
        <f>Torque7*Ratio6*efficiency/r_wheel</f>
        <v>1038.456050885888</v>
      </c>
      <c r="N82" s="24"/>
      <c r="O82" s="72"/>
    </row>
    <row r="83" spans="1:15" ht="12.75">
      <c r="A83" s="50">
        <f>krpm8</f>
        <v>7</v>
      </c>
      <c r="B83" s="82">
        <f>krpm8/krpmMax*vmax1</f>
        <v>75.74565953374668</v>
      </c>
      <c r="C83" s="78">
        <f>Torque8*Ratio1*efficiency/r_wheel</f>
        <v>2936.3240059532013</v>
      </c>
      <c r="D83" s="78">
        <f>krpm8/krpmMax*vmax2</f>
        <v>106.3168806788985</v>
      </c>
      <c r="E83" s="78">
        <f>Torque8*Ratio2*efficiency/r_wheel</f>
        <v>2091.9895035995205</v>
      </c>
      <c r="F83" s="78">
        <f>krpm8/krpmMax*vmax3</f>
        <v>133.96585274399902</v>
      </c>
      <c r="G83" s="78">
        <f>Torque8*Ratio3*efficiency/r_wheel</f>
        <v>1660.2275421686613</v>
      </c>
      <c r="H83" s="78">
        <f>krpm8/krpmMax*vmax4</f>
        <v>160.2875892068962</v>
      </c>
      <c r="I83" s="78">
        <f>Torque8*Ratio4*efficiency/r_wheel</f>
        <v>1387.592136959592</v>
      </c>
      <c r="J83" s="78">
        <f>krpm8/krpmMax*vmax5</f>
        <v>179.43305125105326</v>
      </c>
      <c r="K83" s="78">
        <f>Torque8*Ratio5*efficiency/r_wheel</f>
        <v>1239.5364002616702</v>
      </c>
      <c r="L83" s="78">
        <f>krpm8/krpmMax*vmax6</f>
        <v>192.75964391691394</v>
      </c>
      <c r="M83" s="78">
        <f>Torque8*Ratio6*efficiency/r_wheel</f>
        <v>1153.8400565398758</v>
      </c>
      <c r="N83" s="24"/>
      <c r="O83" s="72"/>
    </row>
    <row r="84" spans="1:15" ht="12.75">
      <c r="A84" s="50">
        <f>krpm9</f>
        <v>8</v>
      </c>
      <c r="B84" s="78">
        <f>krpm9/krpmMax*vmax1</f>
        <v>86.56646803856763</v>
      </c>
      <c r="C84" s="78">
        <f>Torque9*Ratio1*efficiency/r_wheel</f>
        <v>2813.9771723718177</v>
      </c>
      <c r="D84" s="99">
        <f>krpm9/krpmMax*vmax2</f>
        <v>121.5050064901697</v>
      </c>
      <c r="E84" s="99">
        <f>Torque9*Ratio2*efficiency/r_wheel</f>
        <v>2004.8232742828739</v>
      </c>
      <c r="F84" s="78">
        <f>krpm9/krpmMax*vmax3</f>
        <v>153.10383170742747</v>
      </c>
      <c r="G84" s="78">
        <f>Torque9*Ratio3*efficiency/r_wheel</f>
        <v>1591.0513945783005</v>
      </c>
      <c r="H84" s="78">
        <f>krpm9/krpmMax*vmax4</f>
        <v>183.1858162364528</v>
      </c>
      <c r="I84" s="78">
        <f>Torque9*Ratio4*efficiency/r_wheel</f>
        <v>1329.775797919609</v>
      </c>
      <c r="J84" s="78">
        <f>krpm9/krpmMax*vmax5</f>
        <v>205.06634428691802</v>
      </c>
      <c r="K84" s="78">
        <f>Torque9*Ratio5*efficiency/r_wheel</f>
        <v>1187.8890502507675</v>
      </c>
      <c r="L84" s="78">
        <f>krpm9/krpmMax*vmax6</f>
        <v>220.2967359050445</v>
      </c>
      <c r="M84" s="78">
        <f>Torque9*Ratio6*efficiency/r_wheel</f>
        <v>1105.763387517381</v>
      </c>
      <c r="N84" s="24" t="s">
        <v>97</v>
      </c>
      <c r="O84" s="72"/>
    </row>
    <row r="85" spans="1:15" ht="12.75">
      <c r="A85" s="50">
        <f>krpm10</f>
        <v>9</v>
      </c>
      <c r="B85" s="78">
        <f>krpm10/krpmMax*vmax1</f>
        <v>97.38727654338858</v>
      </c>
      <c r="C85" s="78">
        <f>Torque10*Ratio1*efficiency/r_wheel</f>
        <v>2653.566879454004</v>
      </c>
      <c r="D85" s="78">
        <f>krpm10/krpmMax*vmax2</f>
        <v>136.69313230144093</v>
      </c>
      <c r="E85" s="78">
        <f>Torque10*Ratio2*efficiency/r_wheel</f>
        <v>1890.5386625121596</v>
      </c>
      <c r="F85" s="99">
        <f>krpm10/krpmMax*vmax3</f>
        <v>172.2418106708559</v>
      </c>
      <c r="G85" s="99">
        <f>Torque10*Ratio3*efficiency/r_wheel</f>
        <v>1500.353778848716</v>
      </c>
      <c r="H85" s="99">
        <f>krpm10/krpmMax*vmax4</f>
        <v>206.08404326600942</v>
      </c>
      <c r="I85" s="99">
        <f>Torque10*Ratio4*efficiency/r_wheel</f>
        <v>1253.97215340052</v>
      </c>
      <c r="J85" s="146">
        <f>krpm10/krpmMax*vmax5</f>
        <v>230.69963732278276</v>
      </c>
      <c r="K85" s="146">
        <f>Torque10*Ratio5*efficiency/r_wheel</f>
        <v>1120.1736357920279</v>
      </c>
      <c r="L85" s="99">
        <f>krpm10/krpmMax*vmax6</f>
        <v>247.83382789317508</v>
      </c>
      <c r="M85" s="99">
        <f>Torque10*Ratio6*efficiency/r_wheel</f>
        <v>1042.7295325767766</v>
      </c>
      <c r="N85" s="24"/>
      <c r="O85" s="72"/>
    </row>
    <row r="86" spans="1:15" ht="12.75">
      <c r="A86" s="50">
        <f>krpm11</f>
        <v>10</v>
      </c>
      <c r="B86" s="78">
        <f>krpm11/krpmMax*vmax1</f>
        <v>108.20808504820954</v>
      </c>
      <c r="C86" s="78">
        <f>Torque11*Ratio1*efficiency/r_wheel</f>
        <v>2349.059204762561</v>
      </c>
      <c r="D86" s="78">
        <f>krpm11/krpmMax*vmax2</f>
        <v>151.88125811271215</v>
      </c>
      <c r="E86" s="78">
        <f>Torque11*Ratio2*efficiency/r_wheel</f>
        <v>1673.5916028796164</v>
      </c>
      <c r="F86" s="95">
        <f>krpm11/krpmMax*vmax3</f>
        <v>191.37978963428432</v>
      </c>
      <c r="G86" s="95">
        <f>Torque11*Ratio3*efficiency/r_wheel</f>
        <v>1328.1820337349293</v>
      </c>
      <c r="H86" s="95">
        <f>krpm11/krpmMax*vmax4</f>
        <v>228.982270295566</v>
      </c>
      <c r="I86" s="145">
        <f>Torque11*Ratio4*efficiency/r_wheel</f>
        <v>1110.0737095676736</v>
      </c>
      <c r="J86" s="78">
        <f>krpm11/krpmMax*vmax5</f>
        <v>256.3329303586475</v>
      </c>
      <c r="K86" s="144">
        <f>Torque11*Ratio5*efficiency/r_wheel</f>
        <v>991.6291202093363</v>
      </c>
      <c r="L86" s="78">
        <f>krpm11/krpmMax*vmax6</f>
        <v>275.3709198813056</v>
      </c>
      <c r="M86" s="78">
        <f>Torque11*Ratio6*efficiency/r_wheel</f>
        <v>923.0720452319007</v>
      </c>
      <c r="N86" s="24"/>
      <c r="O86" s="72"/>
    </row>
    <row r="87" spans="1:15" ht="12.75">
      <c r="A87" s="105">
        <f>krpmMax</f>
        <v>10.4</v>
      </c>
      <c r="B87" s="106">
        <f>vmax1</f>
        <v>112.53640845013793</v>
      </c>
      <c r="C87" s="106">
        <f>TorqueRpmMax*Ratio1*efficiency/r_wheel</f>
        <v>2202.243004464901</v>
      </c>
      <c r="D87" s="106">
        <f>vmax2</f>
        <v>157.95650843722063</v>
      </c>
      <c r="E87" s="106">
        <f>TorqueRpmMax*Ratio2*efficiency/r_wheel</f>
        <v>1568.9921276996404</v>
      </c>
      <c r="F87" s="79">
        <f>vmax3</f>
        <v>199.03498121965572</v>
      </c>
      <c r="G87" s="79">
        <f>TorqueRpmMax*Ratio3*efficiency/r_wheel</f>
        <v>1245.170656626496</v>
      </c>
      <c r="H87" s="79">
        <f>vmax4</f>
        <v>238.14156110738867</v>
      </c>
      <c r="I87" s="79">
        <f>TorqueRpmMax*Ratio4*efficiency/r_wheel</f>
        <v>1040.694102719694</v>
      </c>
      <c r="J87" s="79">
        <f>vmax5</f>
        <v>266.58624757299344</v>
      </c>
      <c r="K87" s="79">
        <f>TorqueRpmMax*Ratio5*efficiency/r_wheel</f>
        <v>929.6523001962527</v>
      </c>
      <c r="L87" s="79">
        <f>vmax6</f>
        <v>286.3857566765579</v>
      </c>
      <c r="M87" s="79">
        <f>TorqueRpmMax*Ratio6*efficiency/r_wheel</f>
        <v>865.3800424049068</v>
      </c>
      <c r="N87" s="107" t="s">
        <v>98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96</v>
      </c>
      <c r="G89" s="64"/>
      <c r="I89" s="63" t="s">
        <v>102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104</v>
      </c>
      <c r="J90" s="61" t="s">
        <v>103</v>
      </c>
      <c r="K90" s="62" t="s">
        <v>105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57.00566037735849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>K91</f>
        <v>57.00566037735849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aca="true" t="shared" si="2" ref="K93:K103">K92</f>
        <v>57.00566037735849</v>
      </c>
      <c r="L93" s="3"/>
    </row>
    <row r="94" spans="1:11" ht="12.75">
      <c r="A94" s="28">
        <f>3*A95/4</f>
        <v>74.35014836795253</v>
      </c>
      <c r="B94" s="75">
        <f t="shared" si="0"/>
        <v>0</v>
      </c>
      <c r="C94" s="78">
        <f>Cd*A*POWER(3/4*krpm4/krpmMax*vmax6mps3,2)</f>
        <v>76.7770078102299</v>
      </c>
      <c r="D94" s="77">
        <f t="shared" si="1"/>
        <v>76.7770078102299</v>
      </c>
      <c r="F94" s="70"/>
      <c r="G94" s="72"/>
      <c r="I94" s="66">
        <v>0</v>
      </c>
      <c r="J94" s="67">
        <f>Power3</f>
        <v>0</v>
      </c>
      <c r="K94" s="44">
        <f t="shared" si="2"/>
        <v>57.00566037735849</v>
      </c>
    </row>
    <row r="95" spans="1:11" ht="12.75">
      <c r="A95" s="28">
        <f>krpm4/krpmMax*vmax6</f>
        <v>99.13353115727004</v>
      </c>
      <c r="B95" s="75">
        <f t="shared" si="0"/>
        <v>0</v>
      </c>
      <c r="C95" s="78">
        <f>Cd*A*POWER(krpm4/krpmMax*vmax6mps3,2)</f>
        <v>136.4924583292976</v>
      </c>
      <c r="D95" s="77">
        <f t="shared" si="1"/>
        <v>136.4924583292976</v>
      </c>
      <c r="F95" s="70">
        <f aca="true" t="shared" si="3" ref="F95:F103">MAX($D$115:$D$137)*1000/(A95*1000/3600)</f>
        <v>2666.652575114379</v>
      </c>
      <c r="G95" s="72"/>
      <c r="I95" s="66">
        <f>Torque4</f>
        <v>93.34087071269963</v>
      </c>
      <c r="J95" s="67">
        <f>Power4</f>
        <v>35.18867924528302</v>
      </c>
      <c r="K95" s="44">
        <f t="shared" si="2"/>
        <v>57.00566037735849</v>
      </c>
    </row>
    <row r="96" spans="1:12" ht="12.75">
      <c r="A96" s="28">
        <f>krpm5/krpmMax*vmax6</f>
        <v>110.14836795252225</v>
      </c>
      <c r="B96" s="75">
        <f t="shared" si="0"/>
        <v>0</v>
      </c>
      <c r="C96" s="78">
        <f>Cd*A*POWER(krpm5/krpmMax*vmax6mps3,2)</f>
        <v>168.50920781394765</v>
      </c>
      <c r="D96" s="77">
        <f t="shared" si="1"/>
        <v>168.50920781394765</v>
      </c>
      <c r="F96" s="70">
        <f t="shared" si="3"/>
        <v>2399.987317602942</v>
      </c>
      <c r="G96" s="72"/>
      <c r="I96" s="66">
        <f>Torque5</f>
        <v>94.08759767840122</v>
      </c>
      <c r="J96" s="67">
        <f>Power5</f>
        <v>39.41132075471698</v>
      </c>
      <c r="K96" s="44">
        <f t="shared" si="2"/>
        <v>57.00566037735849</v>
      </c>
      <c r="L96" s="3"/>
    </row>
    <row r="97" spans="1:11" ht="12.75">
      <c r="A97" s="28">
        <f>krpm6/krpmMax*vmax6</f>
        <v>137.6854599406528</v>
      </c>
      <c r="B97" s="75">
        <f t="shared" si="0"/>
        <v>0</v>
      </c>
      <c r="C97" s="78">
        <f>Cd*A*POWER(krpm6/krpmMax*vmax6mps3,2)</f>
        <v>263.2956372092932</v>
      </c>
      <c r="D97" s="77">
        <f t="shared" si="1"/>
        <v>263.2956372092932</v>
      </c>
      <c r="F97" s="70">
        <f t="shared" si="3"/>
        <v>1919.9898540823538</v>
      </c>
      <c r="G97" s="72"/>
      <c r="I97" s="66">
        <f>Torque6</f>
        <v>88.71116352534972</v>
      </c>
      <c r="J97" s="67">
        <f>Power6</f>
        <v>46.449056603773585</v>
      </c>
      <c r="K97" s="44">
        <f t="shared" si="2"/>
        <v>57.00566037735849</v>
      </c>
    </row>
    <row r="98" spans="1:11" ht="12.75">
      <c r="A98" s="28">
        <f>krpm7/krpmMax*vmax6</f>
        <v>165.2225519287834</v>
      </c>
      <c r="B98" s="75">
        <f t="shared" si="0"/>
        <v>0</v>
      </c>
      <c r="C98" s="78">
        <f>Cd*A*POWER(krpm7/krpmMax*vmax6mps3,2)</f>
        <v>379.14571758138214</v>
      </c>
      <c r="D98" s="77">
        <f t="shared" si="1"/>
        <v>379.14571758138214</v>
      </c>
      <c r="F98" s="70">
        <f t="shared" si="3"/>
        <v>1599.9915450686278</v>
      </c>
      <c r="G98" s="72"/>
      <c r="I98" s="66">
        <f>Torque7</f>
        <v>90.72732633274403</v>
      </c>
      <c r="J98" s="67">
        <f>Power7</f>
        <v>57.00566037735849</v>
      </c>
      <c r="K98" s="44">
        <f t="shared" si="2"/>
        <v>57.00566037735849</v>
      </c>
    </row>
    <row r="99" spans="1:11" ht="12.75">
      <c r="A99" s="28">
        <f>krpm8/krpmMax*vmax6</f>
        <v>192.75964391691394</v>
      </c>
      <c r="B99" s="75">
        <f t="shared" si="0"/>
        <v>0</v>
      </c>
      <c r="C99" s="78">
        <f>Cd*A*POWER(krpm8/krpmMax*vmax6mps3,2)</f>
        <v>516.0594489302147</v>
      </c>
      <c r="D99" s="77">
        <f t="shared" si="1"/>
        <v>516.0594489302147</v>
      </c>
      <c r="F99" s="70">
        <f t="shared" si="3"/>
        <v>1371.4213243445383</v>
      </c>
      <c r="G99" s="72"/>
      <c r="I99" s="66">
        <f>Torque8</f>
        <v>100.8081403697156</v>
      </c>
      <c r="J99" s="67">
        <f>Power8</f>
        <v>73.89622641509435</v>
      </c>
      <c r="K99" s="44">
        <f t="shared" si="2"/>
        <v>57.00566037735849</v>
      </c>
    </row>
    <row r="100" spans="1:11" ht="12.75">
      <c r="A100" s="28">
        <f>krpm9/krpmMax*vmax6</f>
        <v>220.2967359050445</v>
      </c>
      <c r="B100" s="75">
        <f t="shared" si="0"/>
        <v>0</v>
      </c>
      <c r="C100" s="78">
        <f>Cd*A*POWER(krpm9/krpmMax*vmax6mps3,2)</f>
        <v>674.0368312557906</v>
      </c>
      <c r="D100" s="77">
        <f t="shared" si="1"/>
        <v>674.0368312557906</v>
      </c>
      <c r="F100" s="70">
        <f t="shared" si="3"/>
        <v>1199.993658801471</v>
      </c>
      <c r="G100" s="72"/>
      <c r="I100" s="66">
        <f>Torque9</f>
        <v>96.60780118764411</v>
      </c>
      <c r="J100" s="67">
        <f>Power9</f>
        <v>80.93396226415095</v>
      </c>
      <c r="K100" s="44">
        <f t="shared" si="2"/>
        <v>57.00566037735849</v>
      </c>
    </row>
    <row r="101" spans="1:11" ht="12.75">
      <c r="A101" s="28">
        <f>krpm10/krpmMax*vmax6</f>
        <v>247.83382789317508</v>
      </c>
      <c r="B101" s="75">
        <f t="shared" si="0"/>
        <v>0</v>
      </c>
      <c r="C101" s="78">
        <f>Cd*A*POWER(krpm10/krpmMax*vmax6mps3,2)</f>
        <v>853.0778645581099</v>
      </c>
      <c r="D101" s="77">
        <f t="shared" si="1"/>
        <v>853.0778645581099</v>
      </c>
      <c r="F101" s="70">
        <f t="shared" si="3"/>
        <v>1066.6610300457519</v>
      </c>
      <c r="G101" s="72"/>
      <c r="I101" s="66">
        <f>Torque10</f>
        <v>91.10068981559483</v>
      </c>
      <c r="J101" s="67">
        <f>Power10</f>
        <v>85.86037735849057</v>
      </c>
      <c r="K101" s="44">
        <f t="shared" si="2"/>
        <v>57.00566037735849</v>
      </c>
    </row>
    <row r="102" spans="1:11" ht="12.75">
      <c r="A102" s="28">
        <f>krpm11/krpmMax*vmax6</f>
        <v>275.3709198813056</v>
      </c>
      <c r="B102" s="75">
        <f t="shared" si="0"/>
        <v>0</v>
      </c>
      <c r="C102" s="78">
        <f>Cd*A*POWER(krpm11/krpmMax*vmax6mps3,2)</f>
        <v>1053.1825488371728</v>
      </c>
      <c r="D102" s="77">
        <f t="shared" si="1"/>
        <v>1053.1825488371728</v>
      </c>
      <c r="F102" s="70">
        <f t="shared" si="3"/>
        <v>959.9949270411769</v>
      </c>
      <c r="G102" s="72"/>
      <c r="I102" s="66">
        <f>Torque11</f>
        <v>80.64651229577248</v>
      </c>
      <c r="J102" s="67">
        <f>Power11</f>
        <v>84.45283018867924</v>
      </c>
      <c r="K102" s="44">
        <f t="shared" si="2"/>
        <v>57.00566037735849</v>
      </c>
    </row>
    <row r="103" spans="1:11" ht="12.75">
      <c r="A103" s="28">
        <f>krpmMax/krpmMax*vmax6</f>
        <v>286.3857566765579</v>
      </c>
      <c r="B103" s="55">
        <f t="shared" si="0"/>
        <v>0</v>
      </c>
      <c r="C103" s="79">
        <f>Cd*A*POWER(krpmMax/krpmMax*vmax6mps3,2)</f>
        <v>1139.1222448222863</v>
      </c>
      <c r="D103" s="80">
        <f t="shared" si="1"/>
        <v>1139.1222448222863</v>
      </c>
      <c r="F103" s="73">
        <f t="shared" si="3"/>
        <v>923.0720452319007</v>
      </c>
      <c r="G103" s="74"/>
      <c r="I103" s="68">
        <f>TorqueRpmMax</f>
        <v>75.6061052772867</v>
      </c>
      <c r="J103" s="69">
        <f>PowerRpmMax</f>
        <v>82.34150943396227</v>
      </c>
      <c r="K103" s="45">
        <f t="shared" si="2"/>
        <v>57.00566037735849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78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263.9</v>
      </c>
      <c r="C107" s="83">
        <v>0</v>
      </c>
    </row>
    <row r="108" spans="1:3" ht="12.75">
      <c r="A108" s="84">
        <f>ROUNDUP(MAX(C76:C87),-3)</f>
        <v>3000</v>
      </c>
      <c r="B108" s="56">
        <f>Vmax_actual</f>
        <v>263.9</v>
      </c>
      <c r="C108" s="74">
        <f>ROUNDUP(MAX(B55:B69),-0.5)</f>
        <v>86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73</v>
      </c>
      <c r="B111" s="61" t="s">
        <v>53</v>
      </c>
      <c r="C111" s="51" t="s">
        <v>50</v>
      </c>
      <c r="D111" s="61" t="s">
        <v>94</v>
      </c>
      <c r="E111" s="51" t="s">
        <v>48</v>
      </c>
      <c r="F111" s="51" t="s">
        <v>95</v>
      </c>
      <c r="G111" s="61" t="s">
        <v>108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7">A112*1000/3600</f>
        <v>0</v>
      </c>
      <c r="C112" s="86">
        <f>C113</f>
        <v>2936.3240059532013</v>
      </c>
      <c r="D112" s="24">
        <v>0</v>
      </c>
      <c r="E112" s="78">
        <f aca="true" t="shared" si="5" ref="E112:E133">M_tot*9.81*SIN(RADIANS(incline))+Cd*A*POWER(A112*1000/3600,2)</f>
        <v>0</v>
      </c>
      <c r="F112" s="86">
        <f aca="true" t="shared" si="6" ref="F112:F133">C112-E112</f>
        <v>2936.3240059532013</v>
      </c>
      <c r="G112" s="24">
        <v>0</v>
      </c>
      <c r="H112" s="87">
        <f aca="true" t="shared" si="7" ref="H112:H133">F112/M_tot</f>
        <v>9.71565008577417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20">B80</f>
        <v>43.28323401928382</v>
      </c>
      <c r="B113" s="91">
        <f t="shared" si="4"/>
        <v>12.02312056091217</v>
      </c>
      <c r="C113" s="78">
        <f>C114</f>
        <v>2936.3240059532013</v>
      </c>
      <c r="D113" s="91">
        <f aca="true" t="shared" si="9" ref="D113:D133">C113*B113/1000</f>
        <v>35.30377752947593</v>
      </c>
      <c r="E113" s="78">
        <f t="shared" si="5"/>
        <v>26.01997704400122</v>
      </c>
      <c r="F113" s="78">
        <f t="shared" si="6"/>
        <v>2910.3040289092</v>
      </c>
      <c r="G113" s="91">
        <f aca="true" t="shared" si="10" ref="G113:G133">F113*B113/1000</f>
        <v>34.99093620848373</v>
      </c>
      <c r="H113" s="87">
        <f t="shared" si="7"/>
        <v>9.629555706650185</v>
      </c>
      <c r="I113" s="87">
        <f>(A113-A112)*1000/3600/H113+A112</f>
        <v>1.2485644122302533</v>
      </c>
      <c r="J113" s="87">
        <f>I113-I112</f>
        <v>1.2485644122302533</v>
      </c>
      <c r="K113" s="91">
        <f>(B112+B113)/2*J113</f>
        <v>7.505820228154389</v>
      </c>
      <c r="L113" s="91">
        <f aca="true" t="shared" si="11" ref="L113:L119">K113+L112</f>
        <v>7.505820228154389</v>
      </c>
      <c r="M113" s="72"/>
    </row>
    <row r="114" spans="1:13" ht="12.75">
      <c r="A114" s="92">
        <f t="shared" si="8"/>
        <v>54.10404252410477</v>
      </c>
      <c r="B114" s="91">
        <f t="shared" si="4"/>
        <v>15.028900701140214</v>
      </c>
      <c r="C114" s="78">
        <f>C115</f>
        <v>2936.3240059532013</v>
      </c>
      <c r="D114" s="91">
        <f t="shared" si="9"/>
        <v>44.12972191184491</v>
      </c>
      <c r="E114" s="78">
        <f t="shared" si="5"/>
        <v>40.65621413125191</v>
      </c>
      <c r="F114" s="78">
        <f t="shared" si="6"/>
        <v>2895.6677918219493</v>
      </c>
      <c r="G114" s="91">
        <f t="shared" si="10"/>
        <v>43.51870370678203</v>
      </c>
      <c r="H114" s="87">
        <f t="shared" si="7"/>
        <v>9.581127618392943</v>
      </c>
      <c r="I114" s="87">
        <f aca="true" t="shared" si="12" ref="I114:I131">(A114-A113)*1000/3600/H114+I113</f>
        <v>1.5622832415732453</v>
      </c>
      <c r="J114" s="87">
        <f aca="true" t="shared" si="13" ref="J114:J133">I114-I113</f>
        <v>0.313718829342992</v>
      </c>
      <c r="K114" s="91">
        <f aca="true" t="shared" si="14" ref="K114:K119">(B113+B114)/2*J114</f>
        <v>4.243364220846401</v>
      </c>
      <c r="L114" s="91">
        <f t="shared" si="11"/>
        <v>11.74918444900079</v>
      </c>
      <c r="M114" s="72"/>
    </row>
    <row r="115" spans="1:13" ht="12.75">
      <c r="A115" s="92">
        <f t="shared" si="8"/>
        <v>64.92485102892572</v>
      </c>
      <c r="B115" s="91">
        <f t="shared" si="4"/>
        <v>18.034680841368253</v>
      </c>
      <c r="C115" s="78">
        <f>C116</f>
        <v>2936.3240059532013</v>
      </c>
      <c r="D115" s="91">
        <f t="shared" si="9"/>
        <v>52.95566629421388</v>
      </c>
      <c r="E115" s="78">
        <f t="shared" si="5"/>
        <v>58.54494834900272</v>
      </c>
      <c r="F115" s="78">
        <f t="shared" si="6"/>
        <v>2877.7790576041984</v>
      </c>
      <c r="G115" s="91">
        <f t="shared" si="10"/>
        <v>51.89982683586523</v>
      </c>
      <c r="H115" s="87">
        <f t="shared" si="7"/>
        <v>9.521937732745203</v>
      </c>
      <c r="I115" s="87">
        <f t="shared" si="12"/>
        <v>1.8779521972618964</v>
      </c>
      <c r="J115" s="87">
        <f t="shared" si="13"/>
        <v>0.31566895568865116</v>
      </c>
      <c r="K115" s="91">
        <f t="shared" si="14"/>
        <v>5.2185731284251045</v>
      </c>
      <c r="L115" s="91">
        <f t="shared" si="11"/>
        <v>16.967757577425893</v>
      </c>
      <c r="M115" s="72"/>
    </row>
    <row r="116" spans="1:13" ht="12.75">
      <c r="A116" s="92">
        <f t="shared" si="8"/>
        <v>75.74565953374668</v>
      </c>
      <c r="B116" s="91">
        <f t="shared" si="4"/>
        <v>21.040460981596297</v>
      </c>
      <c r="C116" s="78">
        <f>C83</f>
        <v>2936.3240059532013</v>
      </c>
      <c r="D116" s="91">
        <f t="shared" si="9"/>
        <v>61.781610676582865</v>
      </c>
      <c r="E116" s="78">
        <f t="shared" si="5"/>
        <v>79.6861796972537</v>
      </c>
      <c r="F116" s="78">
        <f t="shared" si="6"/>
        <v>2856.6378262559474</v>
      </c>
      <c r="G116" s="91">
        <f t="shared" si="10"/>
        <v>60.104976721890324</v>
      </c>
      <c r="H116" s="87">
        <f t="shared" si="7"/>
        <v>9.451986049706965</v>
      </c>
      <c r="I116" s="87">
        <f t="shared" si="12"/>
        <v>2.1959573365438394</v>
      </c>
      <c r="J116" s="87">
        <f t="shared" si="13"/>
        <v>0.31800513928194296</v>
      </c>
      <c r="K116" s="91">
        <f t="shared" si="14"/>
        <v>6.213047958936759</v>
      </c>
      <c r="L116" s="91">
        <f t="shared" si="11"/>
        <v>23.18080553636265</v>
      </c>
      <c r="M116" s="72"/>
    </row>
    <row r="117" spans="1:13" s="12" customFormat="1" ht="12.75">
      <c r="A117" s="92">
        <f t="shared" si="8"/>
        <v>86.56646803856763</v>
      </c>
      <c r="B117" s="91">
        <f t="shared" si="4"/>
        <v>24.04624112182434</v>
      </c>
      <c r="C117" s="78">
        <f>C84</f>
        <v>2813.9771723718177</v>
      </c>
      <c r="D117" s="91">
        <f t="shared" si="9"/>
        <v>67.66557359816218</v>
      </c>
      <c r="E117" s="78">
        <f t="shared" si="5"/>
        <v>104.07990817600488</v>
      </c>
      <c r="F117" s="78">
        <f t="shared" si="6"/>
        <v>2709.897264195813</v>
      </c>
      <c r="G117" s="91">
        <f t="shared" si="10"/>
        <v>65.16284303022464</v>
      </c>
      <c r="H117" s="87">
        <f t="shared" si="7"/>
        <v>8.966453815704307</v>
      </c>
      <c r="I117" s="87">
        <f t="shared" si="12"/>
        <v>2.531182410135761</v>
      </c>
      <c r="J117" s="87">
        <f t="shared" si="13"/>
        <v>0.3352250735919218</v>
      </c>
      <c r="K117" s="91">
        <f t="shared" si="14"/>
        <v>7.557096515318118</v>
      </c>
      <c r="L117" s="91">
        <f t="shared" si="11"/>
        <v>30.73790205168077</v>
      </c>
      <c r="M117" s="141"/>
    </row>
    <row r="118" spans="1:13" ht="12.75">
      <c r="A118" s="92">
        <f t="shared" si="8"/>
        <v>97.38727654338858</v>
      </c>
      <c r="B118" s="91">
        <f t="shared" si="4"/>
        <v>27.052021262052385</v>
      </c>
      <c r="C118" s="78">
        <f>C85</f>
        <v>2653.566879454004</v>
      </c>
      <c r="D118" s="91">
        <f t="shared" si="9"/>
        <v>71.78434764326771</v>
      </c>
      <c r="E118" s="78">
        <f t="shared" si="5"/>
        <v>131.72613378525617</v>
      </c>
      <c r="F118" s="78">
        <f t="shared" si="6"/>
        <v>2521.840745668748</v>
      </c>
      <c r="G118" s="91">
        <f t="shared" si="10"/>
        <v>68.22088947134101</v>
      </c>
      <c r="H118" s="87">
        <f t="shared" si="7"/>
        <v>8.344216172088151</v>
      </c>
      <c r="I118" s="87">
        <f t="shared" si="12"/>
        <v>2.8914055968603014</v>
      </c>
      <c r="J118" s="87">
        <f t="shared" si="13"/>
        <v>0.36022318672454023</v>
      </c>
      <c r="K118" s="91">
        <f t="shared" si="14"/>
        <v>9.20338945600339</v>
      </c>
      <c r="L118" s="91">
        <f t="shared" si="11"/>
        <v>39.941291507684156</v>
      </c>
      <c r="M118" s="147"/>
    </row>
    <row r="119" spans="1:13" ht="12.75">
      <c r="A119" s="92">
        <f t="shared" si="8"/>
        <v>108.20808504820954</v>
      </c>
      <c r="B119" s="91">
        <f t="shared" si="4"/>
        <v>30.05780140228043</v>
      </c>
      <c r="C119" s="78">
        <f>C86</f>
        <v>2349.059204762561</v>
      </c>
      <c r="D119" s="91">
        <f t="shared" si="9"/>
        <v>70.60755505895186</v>
      </c>
      <c r="E119" s="78">
        <f t="shared" si="5"/>
        <v>162.62485652500763</v>
      </c>
      <c r="F119" s="78">
        <f t="shared" si="6"/>
        <v>2186.4343482375534</v>
      </c>
      <c r="G119" s="91">
        <f t="shared" si="10"/>
        <v>65.71940941844883</v>
      </c>
      <c r="H119" s="87">
        <f t="shared" si="7"/>
        <v>7.234430199094431</v>
      </c>
      <c r="I119" s="87">
        <f t="shared" si="12"/>
        <v>3.306888234401582</v>
      </c>
      <c r="J119" s="87">
        <f t="shared" si="13"/>
        <v>0.41548263754128056</v>
      </c>
      <c r="K119" s="91">
        <f t="shared" si="14"/>
        <v>11.8640698750459</v>
      </c>
      <c r="L119" s="91">
        <f t="shared" si="11"/>
        <v>51.805361382730055</v>
      </c>
      <c r="M119" s="147"/>
    </row>
    <row r="120" spans="1:13" ht="12.75">
      <c r="A120" s="93">
        <f t="shared" si="8"/>
        <v>112.53640845013793</v>
      </c>
      <c r="B120" s="94">
        <f t="shared" si="4"/>
        <v>31.260113458371645</v>
      </c>
      <c r="C120" s="95">
        <f>C87</f>
        <v>2202.243004464901</v>
      </c>
      <c r="D120" s="94">
        <f t="shared" si="9"/>
        <v>68.84236618247806</v>
      </c>
      <c r="E120" s="95">
        <f t="shared" si="5"/>
        <v>175.89504481744825</v>
      </c>
      <c r="F120" s="95">
        <f t="shared" si="6"/>
        <v>2026.3479596474526</v>
      </c>
      <c r="G120" s="94">
        <f t="shared" si="10"/>
        <v>63.34386712471925</v>
      </c>
      <c r="H120" s="96">
        <f t="shared" si="7"/>
        <v>6.70473956145249</v>
      </c>
      <c r="I120" s="96">
        <f t="shared" si="12"/>
        <v>3.486210942624831</v>
      </c>
      <c r="J120" s="96">
        <f t="shared" si="13"/>
        <v>0.17932270822324892</v>
      </c>
      <c r="K120" s="94">
        <f aca="true" t="shared" si="15" ref="K120:K137">(B119+B120)/2*J120</f>
        <v>5.497847277707366</v>
      </c>
      <c r="L120" s="94">
        <f aca="true" t="shared" si="16" ref="L120:L137">K120+L119</f>
        <v>57.30320866043742</v>
      </c>
      <c r="M120" s="149"/>
    </row>
    <row r="121" spans="1:13" ht="12.75">
      <c r="A121" s="97">
        <f>A120</f>
        <v>112.53640845013793</v>
      </c>
      <c r="B121" s="98">
        <f t="shared" si="4"/>
        <v>31.260113458371645</v>
      </c>
      <c r="C121" s="99">
        <f>C122</f>
        <v>2004.8232742828739</v>
      </c>
      <c r="D121" s="98">
        <f t="shared" si="9"/>
        <v>62.67100301806678</v>
      </c>
      <c r="E121" s="99">
        <f t="shared" si="5"/>
        <v>175.89504481744825</v>
      </c>
      <c r="F121" s="99">
        <f t="shared" si="6"/>
        <v>1828.9282294654256</v>
      </c>
      <c r="G121" s="98">
        <f t="shared" si="10"/>
        <v>57.17250396030798</v>
      </c>
      <c r="H121" s="100">
        <f t="shared" si="7"/>
        <v>6.0515211105636295</v>
      </c>
      <c r="I121" s="100">
        <f>(A121-A120)*1000/3600/H121+I120+Gearchange</f>
        <v>3.736210942624831</v>
      </c>
      <c r="J121" s="100">
        <f t="shared" si="13"/>
        <v>0.25</v>
      </c>
      <c r="K121" s="98">
        <f t="shared" si="15"/>
        <v>7.815028364592911</v>
      </c>
      <c r="L121" s="98">
        <f t="shared" si="16"/>
        <v>65.11823702503033</v>
      </c>
      <c r="M121" s="142" t="s">
        <v>109</v>
      </c>
    </row>
    <row r="122" spans="1:13" s="12" customFormat="1" ht="12.75">
      <c r="A122" s="92">
        <f>D84</f>
        <v>121.5050064901697</v>
      </c>
      <c r="B122" s="91">
        <f t="shared" si="4"/>
        <v>33.75139069171381</v>
      </c>
      <c r="C122" s="78">
        <f>E84</f>
        <v>2004.8232742828739</v>
      </c>
      <c r="D122" s="91">
        <f t="shared" si="9"/>
        <v>67.66557359816218</v>
      </c>
      <c r="E122" s="78">
        <f t="shared" si="5"/>
        <v>205.048147252447</v>
      </c>
      <c r="F122" s="78">
        <f t="shared" si="6"/>
        <v>1799.7751270304268</v>
      </c>
      <c r="G122" s="91">
        <f t="shared" si="10"/>
        <v>60.744913469632785</v>
      </c>
      <c r="H122" s="87">
        <f t="shared" si="7"/>
        <v>5.955059908870994</v>
      </c>
      <c r="I122" s="87">
        <f t="shared" si="12"/>
        <v>4.154557234931818</v>
      </c>
      <c r="J122" s="87">
        <f t="shared" si="13"/>
        <v>0.4183462923069867</v>
      </c>
      <c r="K122" s="91">
        <f t="shared" si="15"/>
        <v>13.598660859244266</v>
      </c>
      <c r="L122" s="91">
        <f t="shared" si="16"/>
        <v>78.71689788427459</v>
      </c>
      <c r="M122" s="147"/>
    </row>
    <row r="123" spans="1:13" ht="12.75">
      <c r="A123" s="92">
        <f>D85</f>
        <v>136.69313230144093</v>
      </c>
      <c r="B123" s="91">
        <f t="shared" si="4"/>
        <v>37.97031452817804</v>
      </c>
      <c r="C123" s="78">
        <f>E85</f>
        <v>1890.5386625121596</v>
      </c>
      <c r="D123" s="91">
        <f t="shared" si="9"/>
        <v>71.78434764326772</v>
      </c>
      <c r="E123" s="78">
        <f t="shared" si="5"/>
        <v>259.51406136637826</v>
      </c>
      <c r="F123" s="78">
        <f t="shared" si="6"/>
        <v>1631.0246011457814</v>
      </c>
      <c r="G123" s="91">
        <f t="shared" si="10"/>
        <v>61.93051710870145</v>
      </c>
      <c r="H123" s="87">
        <f t="shared" si="7"/>
        <v>5.396701547204648</v>
      </c>
      <c r="I123" s="87">
        <f t="shared" si="12"/>
        <v>4.936316944925327</v>
      </c>
      <c r="J123" s="87">
        <f t="shared" si="13"/>
        <v>0.7817597099935094</v>
      </c>
      <c r="K123" s="91">
        <f t="shared" si="15"/>
        <v>28.03456973647131</v>
      </c>
      <c r="L123" s="91">
        <f t="shared" si="16"/>
        <v>106.7514676207459</v>
      </c>
      <c r="M123" s="147"/>
    </row>
    <row r="124" spans="1:13" ht="12.75">
      <c r="A124" s="92">
        <f>D86</f>
        <v>151.88125811271215</v>
      </c>
      <c r="B124" s="91">
        <f t="shared" si="4"/>
        <v>42.189238364642264</v>
      </c>
      <c r="C124" s="78">
        <f>E86</f>
        <v>1673.5916028796164</v>
      </c>
      <c r="D124" s="91">
        <f t="shared" si="9"/>
        <v>70.60755505895186</v>
      </c>
      <c r="E124" s="78">
        <f t="shared" si="5"/>
        <v>320.38773008194846</v>
      </c>
      <c r="F124" s="78">
        <f t="shared" si="6"/>
        <v>1353.2038727976678</v>
      </c>
      <c r="G124" s="91">
        <f t="shared" si="10"/>
        <v>57.09064074541786</v>
      </c>
      <c r="H124" s="87">
        <f t="shared" si="7"/>
        <v>4.477453883209556</v>
      </c>
      <c r="I124" s="87">
        <f t="shared" si="12"/>
        <v>5.878576529615899</v>
      </c>
      <c r="J124" s="87">
        <f t="shared" si="13"/>
        <v>0.9422595846905724</v>
      </c>
      <c r="K124" s="91">
        <f t="shared" si="15"/>
        <v>37.76555350888541</v>
      </c>
      <c r="L124" s="91">
        <f t="shared" si="16"/>
        <v>144.5170211296313</v>
      </c>
      <c r="M124" s="147"/>
    </row>
    <row r="125" spans="1:13" ht="12.75">
      <c r="A125" s="93">
        <f>D87</f>
        <v>157.95650843722063</v>
      </c>
      <c r="B125" s="94">
        <f t="shared" si="4"/>
        <v>43.876807899227956</v>
      </c>
      <c r="C125" s="95">
        <f>E87</f>
        <v>1568.9921276996404</v>
      </c>
      <c r="D125" s="94">
        <f t="shared" si="9"/>
        <v>68.84236618247806</v>
      </c>
      <c r="E125" s="95">
        <f t="shared" si="5"/>
        <v>346.5313688566355</v>
      </c>
      <c r="F125" s="95">
        <f t="shared" si="6"/>
        <v>1222.460758843005</v>
      </c>
      <c r="G125" s="94">
        <f t="shared" si="10"/>
        <v>53.63767588009895</v>
      </c>
      <c r="H125" s="96">
        <f t="shared" si="7"/>
        <v>4.044853685229821</v>
      </c>
      <c r="I125" s="96">
        <f t="shared" si="12"/>
        <v>6.295790517045906</v>
      </c>
      <c r="J125" s="96">
        <f t="shared" si="13"/>
        <v>0.4172139874300065</v>
      </c>
      <c r="K125" s="94">
        <f t="shared" si="15"/>
        <v>17.953979172042352</v>
      </c>
      <c r="L125" s="94">
        <f t="shared" si="16"/>
        <v>162.47100030167366</v>
      </c>
      <c r="M125" s="141"/>
    </row>
    <row r="126" spans="1:13" s="12" customFormat="1" ht="12.75">
      <c r="A126" s="97">
        <f>A125</f>
        <v>157.95650843722063</v>
      </c>
      <c r="B126" s="98">
        <f t="shared" si="4"/>
        <v>43.876807899227956</v>
      </c>
      <c r="C126" s="99">
        <f>C127</f>
        <v>1500.353778848716</v>
      </c>
      <c r="D126" s="98">
        <f t="shared" si="9"/>
        <v>65.83073453542586</v>
      </c>
      <c r="E126" s="99">
        <f t="shared" si="5"/>
        <v>346.5313688566355</v>
      </c>
      <c r="F126" s="99">
        <f t="shared" si="6"/>
        <v>1153.8224099920806</v>
      </c>
      <c r="G126" s="98">
        <f t="shared" si="10"/>
        <v>50.626044233046755</v>
      </c>
      <c r="H126" s="100">
        <f t="shared" si="7"/>
        <v>3.8177444906896905</v>
      </c>
      <c r="I126" s="100">
        <f>(A126-A125)*1000/3600/H126+I125+Gearchange</f>
        <v>6.545790517045906</v>
      </c>
      <c r="J126" s="100">
        <f t="shared" si="13"/>
        <v>0.25</v>
      </c>
      <c r="K126" s="98">
        <f t="shared" si="15"/>
        <v>10.969201974806989</v>
      </c>
      <c r="L126" s="98">
        <f t="shared" si="16"/>
        <v>173.44020227648065</v>
      </c>
      <c r="M126" s="142" t="s">
        <v>109</v>
      </c>
    </row>
    <row r="127" spans="1:16" ht="12.75">
      <c r="A127" s="92">
        <f>F85</f>
        <v>172.2418106708559</v>
      </c>
      <c r="B127" s="91">
        <f t="shared" si="4"/>
        <v>47.84494740857108</v>
      </c>
      <c r="C127" s="78">
        <f>G85</f>
        <v>1500.353778848716</v>
      </c>
      <c r="D127" s="91">
        <f t="shared" si="9"/>
        <v>71.7843476432677</v>
      </c>
      <c r="E127" s="78">
        <f t="shared" si="5"/>
        <v>412.04501865520785</v>
      </c>
      <c r="F127" s="78">
        <f t="shared" si="6"/>
        <v>1088.308760193508</v>
      </c>
      <c r="G127" s="91">
        <f t="shared" si="10"/>
        <v>52.07007539574559</v>
      </c>
      <c r="H127" s="87">
        <f t="shared" si="7"/>
        <v>3.6009742378175953</v>
      </c>
      <c r="I127" s="87">
        <f t="shared" si="12"/>
        <v>7.647753276920594</v>
      </c>
      <c r="J127" s="87">
        <f t="shared" si="13"/>
        <v>1.101962759874688</v>
      </c>
      <c r="K127" s="91">
        <f t="shared" si="15"/>
        <v>50.53697930976652</v>
      </c>
      <c r="L127" s="91">
        <f t="shared" si="16"/>
        <v>223.97718158624718</v>
      </c>
      <c r="M127" s="62"/>
      <c r="N127" s="4"/>
      <c r="P127" s="4"/>
    </row>
    <row r="128" spans="1:13" s="12" customFormat="1" ht="12.75">
      <c r="A128" s="93">
        <f>F86</f>
        <v>191.37978963428432</v>
      </c>
      <c r="B128" s="94">
        <f t="shared" si="4"/>
        <v>53.16105267619009</v>
      </c>
      <c r="C128" s="95">
        <f>G86</f>
        <v>1328.1820337349293</v>
      </c>
      <c r="D128" s="94">
        <f t="shared" si="9"/>
        <v>70.60755505895186</v>
      </c>
      <c r="E128" s="95">
        <f t="shared" si="5"/>
        <v>508.6975538953183</v>
      </c>
      <c r="F128" s="95">
        <f t="shared" si="6"/>
        <v>819.4844798396109</v>
      </c>
      <c r="G128" s="94">
        <f t="shared" si="10"/>
        <v>43.564657600073794</v>
      </c>
      <c r="H128" s="96">
        <f t="shared" si="7"/>
        <v>2.711493840837131</v>
      </c>
      <c r="I128" s="96">
        <f t="shared" si="12"/>
        <v>9.608335000380361</v>
      </c>
      <c r="J128" s="96">
        <f t="shared" si="13"/>
        <v>1.9605817234597671</v>
      </c>
      <c r="K128" s="94">
        <f t="shared" si="15"/>
        <v>99.01525886297922</v>
      </c>
      <c r="L128" s="94">
        <f t="shared" si="16"/>
        <v>322.9924404492264</v>
      </c>
      <c r="M128" s="141"/>
    </row>
    <row r="129" spans="1:13" ht="12.75">
      <c r="A129" s="97">
        <f>A128</f>
        <v>191.37978963428432</v>
      </c>
      <c r="B129" s="98">
        <f t="shared" si="4"/>
        <v>53.16105267619009</v>
      </c>
      <c r="C129" s="99">
        <f>G87</f>
        <v>1245.170656626496</v>
      </c>
      <c r="D129" s="98">
        <f t="shared" si="9"/>
        <v>66.19458286776735</v>
      </c>
      <c r="E129" s="99">
        <f t="shared" si="5"/>
        <v>508.6975538953183</v>
      </c>
      <c r="F129" s="99">
        <f t="shared" si="6"/>
        <v>736.4731027311777</v>
      </c>
      <c r="G129" s="98">
        <f t="shared" si="10"/>
        <v>39.15168540888929</v>
      </c>
      <c r="H129" s="100">
        <f t="shared" si="7"/>
        <v>2.4368274581461757</v>
      </c>
      <c r="I129" s="100">
        <f>(A129-A128)*1000/3600/H129+I128+Gearchange</f>
        <v>9.858335000380361</v>
      </c>
      <c r="J129" s="100">
        <f t="shared" si="13"/>
        <v>0.25</v>
      </c>
      <c r="K129" s="98">
        <f t="shared" si="15"/>
        <v>13.290263169047522</v>
      </c>
      <c r="L129" s="98">
        <f t="shared" si="16"/>
        <v>336.28270361827396</v>
      </c>
      <c r="M129" s="142" t="s">
        <v>109</v>
      </c>
    </row>
    <row r="130" spans="1:13" ht="12.75">
      <c r="A130" s="92">
        <f>H85</f>
        <v>206.08404326600942</v>
      </c>
      <c r="B130" s="91">
        <f t="shared" si="4"/>
        <v>57.245567573891506</v>
      </c>
      <c r="C130" s="78">
        <f>C131</f>
        <v>1110.0737095676736</v>
      </c>
      <c r="D130" s="91">
        <f t="shared" si="9"/>
        <v>63.54679955305668</v>
      </c>
      <c r="E130" s="78">
        <f t="shared" si="5"/>
        <v>589.8699012342562</v>
      </c>
      <c r="F130" s="78">
        <f t="shared" si="6"/>
        <v>520.2038083334174</v>
      </c>
      <c r="G130" s="91">
        <f t="shared" si="10"/>
        <v>29.779362262146353</v>
      </c>
      <c r="H130" s="87">
        <f t="shared" si="7"/>
        <v>1.7212399465480406</v>
      </c>
      <c r="I130" s="87">
        <f>(A130-A129)*1000/3600/H130+I129</f>
        <v>12.23134226522623</v>
      </c>
      <c r="J130" s="87">
        <f t="shared" si="13"/>
        <v>2.373007264845869</v>
      </c>
      <c r="K130" s="91">
        <f t="shared" si="15"/>
        <v>130.99785597026136</v>
      </c>
      <c r="L130" s="91">
        <f t="shared" si="16"/>
        <v>467.2805595885353</v>
      </c>
      <c r="M130" s="147"/>
    </row>
    <row r="131" spans="1:13" s="12" customFormat="1" ht="12.75">
      <c r="A131" s="93">
        <f>H86</f>
        <v>228.982270295566</v>
      </c>
      <c r="B131" s="94">
        <f t="shared" si="4"/>
        <v>63.60618619321278</v>
      </c>
      <c r="C131" s="95">
        <f>I86</f>
        <v>1110.0737095676736</v>
      </c>
      <c r="D131" s="94">
        <f t="shared" si="9"/>
        <v>70.60755505895186</v>
      </c>
      <c r="E131" s="95">
        <f t="shared" si="5"/>
        <v>728.2344459682173</v>
      </c>
      <c r="F131" s="95">
        <f t="shared" si="6"/>
        <v>381.83926359945633</v>
      </c>
      <c r="G131" s="94">
        <f t="shared" si="10"/>
        <v>24.287339296386275</v>
      </c>
      <c r="H131" s="96">
        <f t="shared" si="7"/>
        <v>1.2634221109865933</v>
      </c>
      <c r="I131" s="96">
        <f t="shared" si="12"/>
        <v>17.265778946371796</v>
      </c>
      <c r="J131" s="96">
        <f t="shared" si="13"/>
        <v>5.034436681145566</v>
      </c>
      <c r="K131" s="94">
        <f t="shared" si="15"/>
        <v>304.2102510729408</v>
      </c>
      <c r="L131" s="94">
        <f t="shared" si="16"/>
        <v>771.4908106614762</v>
      </c>
      <c r="M131" s="141"/>
    </row>
    <row r="132" spans="1:13" ht="12.75">
      <c r="A132" s="97">
        <f>A131</f>
        <v>228.982270295566</v>
      </c>
      <c r="B132" s="98">
        <f t="shared" si="4"/>
        <v>63.60618619321278</v>
      </c>
      <c r="C132" s="99">
        <f>I87</f>
        <v>1040.694102719694</v>
      </c>
      <c r="D132" s="98">
        <f t="shared" si="9"/>
        <v>66.19458286776735</v>
      </c>
      <c r="E132" s="99">
        <f t="shared" si="5"/>
        <v>728.2344459682173</v>
      </c>
      <c r="F132" s="99">
        <f t="shared" si="6"/>
        <v>312.4596567514767</v>
      </c>
      <c r="G132" s="98">
        <f t="shared" si="10"/>
        <v>19.87436710520178</v>
      </c>
      <c r="H132" s="100">
        <f t="shared" si="7"/>
        <v>1.0338602568257707</v>
      </c>
      <c r="I132" s="100">
        <f>(A132-A131)*1000/3600/H132+I131+Gearchange</f>
        <v>17.515778946371796</v>
      </c>
      <c r="J132" s="100">
        <f t="shared" si="13"/>
        <v>0.25</v>
      </c>
      <c r="K132" s="98">
        <f t="shared" si="15"/>
        <v>15.901546548303195</v>
      </c>
      <c r="L132" s="98">
        <f t="shared" si="16"/>
        <v>787.3923572097793</v>
      </c>
      <c r="M132" s="142" t="s">
        <v>109</v>
      </c>
    </row>
    <row r="133" spans="1:13" ht="12.75">
      <c r="A133" s="93">
        <f>J85</f>
        <v>230.69963732278276</v>
      </c>
      <c r="B133" s="94">
        <f t="shared" si="4"/>
        <v>64.08323258966188</v>
      </c>
      <c r="C133" s="95">
        <f>C134</f>
        <v>991.6291202093363</v>
      </c>
      <c r="D133" s="94">
        <f t="shared" si="9"/>
        <v>63.54679955305667</v>
      </c>
      <c r="E133" s="95">
        <f t="shared" si="5"/>
        <v>739.1989258453262</v>
      </c>
      <c r="F133" s="95">
        <f t="shared" si="6"/>
        <v>252.43019436401005</v>
      </c>
      <c r="G133" s="94">
        <f t="shared" si="10"/>
        <v>16.17654285808241</v>
      </c>
      <c r="H133" s="96">
        <f t="shared" si="7"/>
        <v>0.8352359734662648</v>
      </c>
      <c r="I133" s="96">
        <f>(A133-A132)*1000/3600/H133+I132</f>
        <v>18.086930586870874</v>
      </c>
      <c r="J133" s="96">
        <f t="shared" si="13"/>
        <v>0.5711516404990782</v>
      </c>
      <c r="K133" s="94">
        <f t="shared" si="15"/>
        <v>36.46501050610633</v>
      </c>
      <c r="L133" s="94">
        <f t="shared" si="16"/>
        <v>823.8573677158856</v>
      </c>
      <c r="M133" s="141"/>
    </row>
    <row r="134" spans="1:13" ht="12.75">
      <c r="A134" s="97">
        <f>A133</f>
        <v>230.69963732278276</v>
      </c>
      <c r="B134" s="98">
        <f t="shared" si="4"/>
        <v>64.08323258966188</v>
      </c>
      <c r="C134" s="99">
        <f>K86</f>
        <v>991.6291202093363</v>
      </c>
      <c r="D134" s="98">
        <f>C134*B134/1000</f>
        <v>63.54679955305667</v>
      </c>
      <c r="E134" s="99">
        <f>M_tot*9.81*SIN(RADIANS(incline))+Cd*A*POWER(A134*1000/3600,2)</f>
        <v>739.1989258453262</v>
      </c>
      <c r="F134" s="99">
        <f>C134-E134</f>
        <v>252.43019436401005</v>
      </c>
      <c r="G134" s="98">
        <f>F134*B134/1000</f>
        <v>16.17654285808241</v>
      </c>
      <c r="H134" s="100">
        <f>F134/M_tot</f>
        <v>0.8352359734662648</v>
      </c>
      <c r="I134" s="100">
        <f>(A134-A133)*1000/3600/H134+I133+Gearchange</f>
        <v>18.336930586870874</v>
      </c>
      <c r="J134" s="100">
        <f>I134-I133</f>
        <v>0.25</v>
      </c>
      <c r="K134" s="98">
        <f t="shared" si="15"/>
        <v>16.02080814741547</v>
      </c>
      <c r="L134" s="98">
        <f t="shared" si="16"/>
        <v>839.8781758633011</v>
      </c>
      <c r="M134" s="142" t="s">
        <v>109</v>
      </c>
    </row>
    <row r="135" spans="1:13" ht="12.75">
      <c r="A135" s="92">
        <f>L85</f>
        <v>247.83382789317508</v>
      </c>
      <c r="B135" s="91">
        <f t="shared" si="4"/>
        <v>68.84272997032642</v>
      </c>
      <c r="C135" s="78">
        <f>M87</f>
        <v>865.3800424049068</v>
      </c>
      <c r="D135" s="91">
        <f>C135*B135/1000</f>
        <v>59.575124580990625</v>
      </c>
      <c r="E135" s="78">
        <f>M_tot*9.81*SIN(RADIANS(incline))+Cd*A*POWER(A135*1000/3600,2)</f>
        <v>853.0778645581103</v>
      </c>
      <c r="F135" s="78">
        <f>C135-E135</f>
        <v>12.302177846796553</v>
      </c>
      <c r="G135" s="91">
        <f>F135*B135/1000</f>
        <v>0.8469155075539467</v>
      </c>
      <c r="H135" s="87">
        <f>F135/M_tot</f>
        <v>0.040705199770226914</v>
      </c>
      <c r="I135" s="87">
        <f>(A135-A134)*1000/3600/H135+I134</f>
        <v>135.2629598787301</v>
      </c>
      <c r="J135" s="87">
        <f>I135-I134</f>
        <v>116.92602929185922</v>
      </c>
      <c r="K135" s="91">
        <f t="shared" si="15"/>
        <v>7771.252495968887</v>
      </c>
      <c r="L135" s="91">
        <f t="shared" si="16"/>
        <v>8611.130671832188</v>
      </c>
      <c r="M135" s="147"/>
    </row>
    <row r="136" spans="1:13" ht="12.75">
      <c r="A136" s="92">
        <f>L86</f>
        <v>275.3709198813056</v>
      </c>
      <c r="B136" s="91">
        <f t="shared" si="4"/>
        <v>76.49192218925155</v>
      </c>
      <c r="C136" s="78">
        <f>C137</f>
        <v>923.0720452319007</v>
      </c>
      <c r="D136" s="91">
        <f>C136*B136/1000</f>
        <v>70.60755505895185</v>
      </c>
      <c r="E136" s="78">
        <f>M_tot*9.81*SIN(RADIANS(incline))+Cd*A*POWER(A136*1000/3600,2)</f>
        <v>1053.1825488371726</v>
      </c>
      <c r="F136" s="78">
        <f>C136-E136</f>
        <v>-130.1105036052719</v>
      </c>
      <c r="G136" s="91">
        <f>F136*B136/1000</f>
        <v>-9.952402517778792</v>
      </c>
      <c r="H136" s="87">
        <f>F136/M_tot</f>
        <v>-0.4305070295205111</v>
      </c>
      <c r="I136" s="87">
        <f>(A136-A135)*1000/3600/H136+I135</f>
        <v>117.49509154114537</v>
      </c>
      <c r="J136" s="87">
        <f>I136-I135</f>
        <v>-17.76786833758473</v>
      </c>
      <c r="K136" s="91">
        <f t="shared" si="15"/>
        <v>-1291.1434822300278</v>
      </c>
      <c r="L136" s="91">
        <f t="shared" si="16"/>
        <v>7319.9871896021605</v>
      </c>
      <c r="M136" s="147"/>
    </row>
    <row r="137" spans="1:13" ht="12.75">
      <c r="A137" s="101">
        <f>L87</f>
        <v>286.3857566765579</v>
      </c>
      <c r="B137" s="102">
        <f t="shared" si="4"/>
        <v>79.55159907682163</v>
      </c>
      <c r="C137" s="79">
        <f>M86</f>
        <v>923.0720452319007</v>
      </c>
      <c r="D137" s="102">
        <f>C137*B137/1000</f>
        <v>73.43185726130993</v>
      </c>
      <c r="E137" s="79">
        <f>M_tot*9.81*SIN(RADIANS(incline))+Cd*A*POWER(A137*1000/3600,2)</f>
        <v>1139.1222448222863</v>
      </c>
      <c r="F137" s="79">
        <f>C137-E137</f>
        <v>-216.05019959038566</v>
      </c>
      <c r="G137" s="102">
        <f>F137*B137/1000</f>
        <v>-17.187138858281653</v>
      </c>
      <c r="H137" s="103">
        <f>F137/M_tot</f>
        <v>-0.7148625750857658</v>
      </c>
      <c r="I137" s="103">
        <f>(A137-A136)*1000/3600/H137+I136</f>
        <v>113.21500052196872</v>
      </c>
      <c r="J137" s="103">
        <f>I137-I136</f>
        <v>-4.280091019176652</v>
      </c>
      <c r="K137" s="102">
        <f t="shared" si="15"/>
        <v>-333.9402369858104</v>
      </c>
      <c r="L137" s="102">
        <f t="shared" si="16"/>
        <v>6986.04695261635</v>
      </c>
      <c r="M137" s="148"/>
    </row>
    <row r="138" spans="1:6" ht="12.75">
      <c r="A138" s="92"/>
      <c r="B138" s="1"/>
      <c r="C138" s="1"/>
      <c r="D138" s="1"/>
      <c r="F138" s="2"/>
    </row>
    <row r="139" spans="1:6" ht="12.75">
      <c r="A139" s="153" t="s">
        <v>111</v>
      </c>
      <c r="B139" s="154" t="s">
        <v>123</v>
      </c>
      <c r="C139" s="150"/>
      <c r="D139" s="150"/>
      <c r="E139" s="151"/>
      <c r="F139" s="152"/>
    </row>
    <row r="140" spans="1:6" ht="12.75">
      <c r="A140" s="85" t="s">
        <v>112</v>
      </c>
      <c r="B140" s="86" t="s">
        <v>113</v>
      </c>
      <c r="C140" s="86" t="s">
        <v>114</v>
      </c>
      <c r="D140" s="86" t="s">
        <v>115</v>
      </c>
      <c r="E140" s="76" t="s">
        <v>116</v>
      </c>
      <c r="F140" s="112" t="s">
        <v>117</v>
      </c>
    </row>
    <row r="141" spans="1:6" s="12" customFormat="1" ht="12.75">
      <c r="A141" s="85">
        <v>3600</v>
      </c>
      <c r="B141" s="86">
        <v>25</v>
      </c>
      <c r="C141" s="86">
        <v>41.66666666666667</v>
      </c>
      <c r="D141" s="86">
        <v>31.083333333333336</v>
      </c>
      <c r="E141" s="76">
        <v>49.83698871303955</v>
      </c>
      <c r="F141" s="112">
        <v>37.17839357992751</v>
      </c>
    </row>
    <row r="142" spans="1:6" ht="12.75">
      <c r="A142" s="85">
        <v>4000</v>
      </c>
      <c r="B142" s="86">
        <v>28</v>
      </c>
      <c r="C142" s="86">
        <v>46.666666666666664</v>
      </c>
      <c r="D142" s="86">
        <v>34.81333333333333</v>
      </c>
      <c r="E142" s="76">
        <v>55.81742735860429</v>
      </c>
      <c r="F142" s="112">
        <v>41.6398008095188</v>
      </c>
    </row>
    <row r="143" spans="1:6" ht="12.75">
      <c r="A143" s="85">
        <v>5000</v>
      </c>
      <c r="B143" s="86">
        <v>33</v>
      </c>
      <c r="C143" s="86">
        <v>55</v>
      </c>
      <c r="D143" s="86">
        <v>41.03</v>
      </c>
      <c r="E143" s="76">
        <v>65.78482510121222</v>
      </c>
      <c r="F143" s="112">
        <v>49.07547952550431</v>
      </c>
    </row>
    <row r="144" spans="1:6" ht="12.75">
      <c r="A144" s="85">
        <v>6000</v>
      </c>
      <c r="B144" s="86">
        <v>40.5</v>
      </c>
      <c r="C144" s="86">
        <v>67.5</v>
      </c>
      <c r="D144" s="86">
        <v>50.355</v>
      </c>
      <c r="E144" s="76">
        <v>80.73592171512406</v>
      </c>
      <c r="F144" s="112">
        <v>60.228997599482554</v>
      </c>
    </row>
    <row r="145" spans="1:6" s="12" customFormat="1" ht="12.75">
      <c r="A145" s="85">
        <v>7000</v>
      </c>
      <c r="B145" s="86">
        <v>52.5</v>
      </c>
      <c r="C145" s="86">
        <v>87.5</v>
      </c>
      <c r="D145" s="86">
        <v>65.275</v>
      </c>
      <c r="E145" s="76">
        <v>104.65767629738305</v>
      </c>
      <c r="F145" s="112">
        <v>78.07462651784775</v>
      </c>
    </row>
    <row r="146" spans="1:6" ht="12.75">
      <c r="A146" s="85">
        <v>8000</v>
      </c>
      <c r="B146" s="86">
        <v>57.5</v>
      </c>
      <c r="C146" s="86">
        <v>95.83333333333334</v>
      </c>
      <c r="D146" s="86">
        <v>71.49166666666667</v>
      </c>
      <c r="E146" s="76">
        <v>114.62507403999098</v>
      </c>
      <c r="F146" s="112">
        <v>85.51030523383326</v>
      </c>
    </row>
    <row r="147" spans="1:6" ht="12.75">
      <c r="A147" s="85">
        <v>9000</v>
      </c>
      <c r="B147" s="86">
        <v>61</v>
      </c>
      <c r="C147" s="86">
        <v>101.66666666666666</v>
      </c>
      <c r="D147" s="86">
        <v>75.84333333333332</v>
      </c>
      <c r="E147" s="76">
        <v>121.6022524598165</v>
      </c>
      <c r="F147" s="112">
        <v>90.71528033502311</v>
      </c>
    </row>
    <row r="148" spans="1:6" s="12" customFormat="1" ht="12.75">
      <c r="A148" s="85">
        <v>10000</v>
      </c>
      <c r="B148" s="86">
        <v>60</v>
      </c>
      <c r="C148" s="86">
        <v>100</v>
      </c>
      <c r="D148" s="86">
        <v>74.6</v>
      </c>
      <c r="E148" s="76">
        <v>119.60877291129492</v>
      </c>
      <c r="F148" s="112">
        <v>89.22814459182601</v>
      </c>
    </row>
    <row r="149" spans="1:6" ht="12.75">
      <c r="A149" s="85">
        <v>10400</v>
      </c>
      <c r="B149" s="86">
        <v>58.5</v>
      </c>
      <c r="C149" s="86">
        <v>97.5</v>
      </c>
      <c r="D149" s="86">
        <v>72.735</v>
      </c>
      <c r="E149" s="76">
        <v>116.61855358851254</v>
      </c>
      <c r="F149" s="112">
        <v>86.99744097703035</v>
      </c>
    </row>
    <row r="150" spans="1:6" ht="12.75">
      <c r="A150" s="85"/>
      <c r="B150" s="86"/>
      <c r="C150" s="86"/>
      <c r="D150" s="86"/>
      <c r="E150" s="76"/>
      <c r="F150" s="112"/>
    </row>
    <row r="151" spans="1:6" ht="12.75">
      <c r="A151" s="92"/>
      <c r="B151" s="78"/>
      <c r="C151" s="76"/>
      <c r="D151" s="76"/>
      <c r="E151" s="76"/>
      <c r="F151" s="147"/>
    </row>
    <row r="152" spans="1:6" ht="12.75">
      <c r="A152" s="92" t="s">
        <v>118</v>
      </c>
      <c r="B152" s="78">
        <v>53</v>
      </c>
      <c r="C152" s="76"/>
      <c r="D152" s="76"/>
      <c r="E152" s="76"/>
      <c r="F152" s="147"/>
    </row>
    <row r="153" spans="1:6" ht="12.75">
      <c r="A153" s="101" t="s">
        <v>119</v>
      </c>
      <c r="B153" s="156">
        <v>0.836059074648</v>
      </c>
      <c r="C153" s="143"/>
      <c r="D153" s="143"/>
      <c r="E153" s="143"/>
      <c r="F153" s="148"/>
    </row>
    <row r="154" spans="1:4" ht="12.75">
      <c r="A154" s="7"/>
      <c r="B154" s="7"/>
      <c r="D154" s="155" t="s">
        <v>120</v>
      </c>
    </row>
    <row r="155" spans="1:4" ht="12.75">
      <c r="A155" s="7"/>
      <c r="B155" s="7"/>
      <c r="D155" s="155" t="s">
        <v>121</v>
      </c>
    </row>
    <row r="156" spans="1:4" ht="12.75">
      <c r="A156" s="7"/>
      <c r="B156" s="7"/>
      <c r="D156" s="155" t="s">
        <v>122</v>
      </c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